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dir_Autres Activites\dep_Managing Director\Board\Board Documents\1 - Meetings\Board Meetings 2026\2 - April 29th\"/>
    </mc:Choice>
  </mc:AlternateContent>
  <xr:revisionPtr revIDLastSave="0" documentId="8_{9D48A77E-932B-472A-AD52-76EF165896F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Budget 2025-2026" sheetId="29" r:id="rId1"/>
    <sheet name="Investment revenue" sheetId="31" r:id="rId2"/>
    <sheet name="10-5100 10-5105 10-5115 Mailing" sheetId="26" r:id="rId3"/>
    <sheet name="10-5120 publicity" sheetId="10" r:id="rId4"/>
    <sheet name="10-5125 Marketing Materials-MC" sheetId="23" r:id="rId5"/>
    <sheet name="10-5130 Donor recognition" sheetId="25" r:id="rId6"/>
    <sheet name="10-7050 Business Dvpt " sheetId="7" r:id="rId7"/>
    <sheet name="10-8115 telephone" sheetId="27" r:id="rId8"/>
    <sheet name="10-8190 Equip - copier" sheetId="33" r:id="rId9"/>
    <sheet name="10-8300 software" sheetId="5" r:id="rId10"/>
    <sheet name="10-8520 Audit" sheetId="8" r:id="rId11"/>
  </sheets>
  <definedNames>
    <definedName name="_xlnm.Print_Area" localSheetId="3">'10-5120 publicity'!$A$1:$L$15</definedName>
    <definedName name="_xlnm.Print_Area" localSheetId="8">'10-8190 Equip - copier'!$A$1:$L$7</definedName>
  </definedNames>
  <calcPr calcId="191029"/>
</workbook>
</file>

<file path=xl/calcChain.xml><?xml version="1.0" encoding="utf-8"?>
<calcChain xmlns="http://schemas.openxmlformats.org/spreadsheetml/2006/main">
  <c r="K83" i="29" l="1"/>
  <c r="K84" i="29"/>
  <c r="K109" i="29" l="1"/>
  <c r="L124" i="29" l="1"/>
  <c r="L122" i="29" l="1"/>
  <c r="L126" i="29" l="1"/>
  <c r="F5" i="33"/>
  <c r="F4" i="33"/>
  <c r="F6" i="33"/>
  <c r="L74" i="29"/>
  <c r="L72" i="29"/>
  <c r="L130" i="29"/>
  <c r="L125" i="29"/>
  <c r="L146" i="29"/>
  <c r="L143" i="29"/>
  <c r="L140" i="29"/>
  <c r="L128" i="29" l="1"/>
  <c r="L98" i="29"/>
  <c r="L106" i="29"/>
  <c r="L116" i="29" l="1"/>
  <c r="L57" i="29"/>
  <c r="L53" i="29"/>
  <c r="L49" i="29"/>
  <c r="L46" i="29"/>
  <c r="L18" i="29"/>
  <c r="L42" i="29"/>
  <c r="L25" i="29"/>
  <c r="L21" i="29"/>
  <c r="L77" i="29"/>
  <c r="L75" i="29"/>
  <c r="L132" i="29"/>
  <c r="L136" i="29" s="1"/>
  <c r="L76" i="29"/>
  <c r="K14" i="29"/>
  <c r="L79" i="29" l="1"/>
  <c r="L148" i="29" s="1"/>
  <c r="B11" i="27" l="1"/>
  <c r="C16" i="5"/>
  <c r="C18" i="5" l="1"/>
  <c r="C6" i="5"/>
  <c r="C4" i="5" l="1"/>
  <c r="C19" i="5" s="1"/>
  <c r="K9" i="29" l="1"/>
  <c r="J9" i="29"/>
  <c r="K55" i="29" l="1"/>
  <c r="K65" i="29"/>
  <c r="K34" i="29"/>
  <c r="J37" i="29"/>
  <c r="K37" i="29"/>
  <c r="K30" i="29"/>
  <c r="L156" i="29"/>
  <c r="L153" i="29"/>
  <c r="I9" i="29"/>
  <c r="I98" i="29" l="1"/>
  <c r="I148" i="29" s="1"/>
  <c r="I156" i="29" s="1"/>
  <c r="I42" i="29"/>
  <c r="I18" i="29"/>
  <c r="I153" i="29" l="1"/>
  <c r="I68" i="29"/>
  <c r="I152" i="29" l="1"/>
  <c r="I154" i="29" s="1"/>
  <c r="I150" i="29"/>
  <c r="I158" i="29" l="1"/>
  <c r="I157" i="29"/>
  <c r="F14" i="31" l="1"/>
  <c r="F7" i="31"/>
  <c r="F16" i="31" l="1"/>
  <c r="L60" i="29" s="1"/>
  <c r="L66" i="29" s="1"/>
  <c r="L68" i="29" s="1"/>
  <c r="C16" i="23"/>
  <c r="L150" i="29" l="1"/>
  <c r="L152" i="29"/>
  <c r="L154" i="29" s="1"/>
  <c r="M9" i="29"/>
  <c r="L157" i="29" l="1"/>
  <c r="L158" i="29"/>
  <c r="K146" i="29"/>
  <c r="K143" i="29"/>
  <c r="K140" i="29"/>
  <c r="K136" i="29"/>
  <c r="K122" i="29"/>
  <c r="K116" i="29"/>
  <c r="K106" i="29"/>
  <c r="K98" i="29"/>
  <c r="K79" i="29"/>
  <c r="K57" i="29"/>
  <c r="K53" i="29"/>
  <c r="K49" i="29"/>
  <c r="K46" i="29"/>
  <c r="K25" i="29"/>
  <c r="K21" i="29"/>
  <c r="K18" i="29"/>
  <c r="K42" i="29" l="1"/>
  <c r="K153" i="29" s="1"/>
  <c r="K148" i="29"/>
  <c r="K156" i="29" s="1"/>
  <c r="K66" i="29"/>
  <c r="K68" i="29" l="1"/>
  <c r="K150" i="29" s="1"/>
  <c r="K152" i="29"/>
  <c r="K154" i="29" s="1"/>
  <c r="K158" i="29" s="1"/>
  <c r="J146" i="29"/>
  <c r="M143" i="29"/>
  <c r="J143" i="29"/>
  <c r="M140" i="29"/>
  <c r="J140" i="29"/>
  <c r="J136" i="29"/>
  <c r="M122" i="29"/>
  <c r="J122" i="29"/>
  <c r="M116" i="29"/>
  <c r="J116" i="29"/>
  <c r="M106" i="29"/>
  <c r="J106" i="29"/>
  <c r="M98" i="29"/>
  <c r="J98" i="29"/>
  <c r="H98" i="29"/>
  <c r="H156" i="29" s="1"/>
  <c r="G98" i="29"/>
  <c r="G156" i="29" s="1"/>
  <c r="E98" i="29"/>
  <c r="E156" i="29" s="1"/>
  <c r="D98" i="29"/>
  <c r="D156" i="29" s="1"/>
  <c r="C98" i="29"/>
  <c r="C156" i="29" s="1"/>
  <c r="F89" i="29"/>
  <c r="F98" i="29" s="1"/>
  <c r="F156" i="29" s="1"/>
  <c r="J79" i="29"/>
  <c r="M66" i="29"/>
  <c r="J66" i="29"/>
  <c r="M57" i="29"/>
  <c r="J57" i="29"/>
  <c r="J53" i="29"/>
  <c r="J49" i="29"/>
  <c r="M46" i="29"/>
  <c r="J46" i="29"/>
  <c r="M42" i="29"/>
  <c r="J42" i="29"/>
  <c r="H42" i="29"/>
  <c r="G42" i="29"/>
  <c r="E42" i="29"/>
  <c r="D42" i="29"/>
  <c r="C42" i="29"/>
  <c r="F35" i="29"/>
  <c r="F42" i="29" s="1"/>
  <c r="M25" i="29"/>
  <c r="J25" i="29"/>
  <c r="M21" i="29"/>
  <c r="J21" i="29"/>
  <c r="M18" i="29"/>
  <c r="J18" i="29"/>
  <c r="H9" i="29"/>
  <c r="G9" i="29"/>
  <c r="F9" i="29"/>
  <c r="E9" i="29"/>
  <c r="D9" i="29"/>
  <c r="C9" i="29"/>
  <c r="J153" i="29" l="1"/>
  <c r="K157" i="29"/>
  <c r="M153" i="29"/>
  <c r="E68" i="29"/>
  <c r="E152" i="29" s="1"/>
  <c r="E153" i="29"/>
  <c r="D153" i="29"/>
  <c r="D68" i="29"/>
  <c r="D152" i="29" s="1"/>
  <c r="D154" i="29" s="1"/>
  <c r="D158" i="29" s="1"/>
  <c r="H153" i="29"/>
  <c r="H68" i="29"/>
  <c r="H152" i="29" s="1"/>
  <c r="H154" i="29" s="1"/>
  <c r="G153" i="29"/>
  <c r="G68" i="29"/>
  <c r="G152" i="29" s="1"/>
  <c r="G154" i="29" s="1"/>
  <c r="D157" i="29"/>
  <c r="F68" i="29"/>
  <c r="F152" i="29" s="1"/>
  <c r="F153" i="29"/>
  <c r="C68" i="29"/>
  <c r="C152" i="29" s="1"/>
  <c r="C154" i="29" s="1"/>
  <c r="C153" i="29"/>
  <c r="J68" i="29"/>
  <c r="J152" i="29" s="1"/>
  <c r="J154" i="29" s="1"/>
  <c r="J148" i="29"/>
  <c r="J156" i="29" s="1"/>
  <c r="M68" i="29"/>
  <c r="M152" i="29" s="1"/>
  <c r="M154" i="29" s="1"/>
  <c r="J158" i="29" l="1"/>
  <c r="G157" i="29"/>
  <c r="G158" i="29"/>
  <c r="H157" i="29"/>
  <c r="H158" i="29"/>
  <c r="F154" i="29"/>
  <c r="J157" i="29"/>
  <c r="C157" i="29"/>
  <c r="C158" i="29"/>
  <c r="J150" i="29"/>
  <c r="E154" i="29"/>
  <c r="E157" i="29" l="1"/>
  <c r="E158" i="29"/>
  <c r="F157" i="29"/>
  <c r="F158" i="29"/>
  <c r="F5" i="8" l="1"/>
  <c r="F6" i="8" s="1"/>
  <c r="C11" i="27"/>
  <c r="C13" i="27" s="1"/>
  <c r="B33" i="26"/>
  <c r="B40" i="26" s="1"/>
  <c r="B19" i="26"/>
  <c r="B23" i="26" s="1"/>
  <c r="B9" i="26"/>
  <c r="F8" i="8" l="1"/>
  <c r="F7" i="8"/>
  <c r="F10" i="8" s="1"/>
  <c r="F9" i="10"/>
  <c r="M79" i="29" s="1"/>
  <c r="M136" i="29" l="1"/>
  <c r="M148" i="29" s="1"/>
  <c r="M150" i="29" s="1"/>
  <c r="M156" i="29" l="1"/>
  <c r="F9" i="8"/>
  <c r="F11" i="8" s="1"/>
  <c r="M158" i="29" l="1"/>
  <c r="M157" i="29"/>
  <c r="H15" i="7"/>
  <c r="H12" i="7"/>
  <c r="H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 Lason</author>
  </authors>
  <commentList>
    <comment ref="K14" authorId="0" shapeId="0" xr:uid="{574334F6-1E33-487A-915B-BE70816ED4A7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added $100,000 donation for OR - robotics
plus 250,000 Hewitt
</t>
        </r>
      </text>
    </comment>
    <comment ref="K30" authorId="0" shapeId="0" xr:uid="{6DF0A1AA-794E-4EAE-90D9-5C5DA3435193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reduced by $34500 revenue received for next years events
</t>
        </r>
      </text>
    </comment>
    <comment ref="K34" authorId="0" shapeId="0" xr:uid="{F0E31D41-0E3F-4240-96F8-A3C12F68D3D3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added $20247.36 
40westt invoice paid, revenue to be received in same amount
</t>
        </r>
      </text>
    </comment>
    <comment ref="E35" authorId="0" shapeId="0" xr:uid="{E372A3B1-DE76-42CC-AC50-AFBE8E181533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includes online auction for covid-19</t>
        </r>
      </text>
    </comment>
    <comment ref="F35" authorId="0" shapeId="0" xr:uid="{D0F77888-D2A6-444E-8B48-861B002C8FFD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chocolate sale $10040
Third Party $25325
</t>
        </r>
      </text>
    </comment>
    <comment ref="J37" authorId="0" shapeId="0" xr:uid="{524CCDAB-530F-44A9-A047-84B940F67604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minus $10,000
revenue received for next years event
</t>
        </r>
      </text>
    </comment>
    <comment ref="K37" authorId="0" shapeId="0" xr:uid="{2645AE51-2FEA-4153-8E27-9B7D78EAB20E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minus $10380.75 re revenue received for next year events
</t>
        </r>
      </text>
    </comment>
    <comment ref="K55" authorId="0" shapeId="0" xr:uid="{54D35E7F-A242-4C03-A041-8648183110EC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added Pointe Claire donation to come
</t>
        </r>
      </text>
    </comment>
    <comment ref="L60" authorId="0" shapeId="0" xr:uid="{741A09E3-98A7-48CC-AE9B-78BBE77BD6D8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based on estimate provided by RBC PH&amp;N of $384,154 and estimate of interest in TS1 at Desjardin of $54,000 based on current balance and current interest rate 
</t>
        </r>
      </text>
    </comment>
    <comment ref="L73" authorId="0" shapeId="0" xr:uid="{3274C594-808B-4BBD-83B1-F42BB2AC0701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Nat if we only estimated half the revenue, should we not estimate half the exp???
Ie. 20K
</t>
        </r>
      </text>
    </comment>
    <comment ref="K83" authorId="0" shapeId="0" xr:uid="{1729B0EF-CA0A-408F-B4E3-5AB894C39D17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included Flygreen and 5 out of nine Nashville hotels added plus estimate of last 4 hotels to be recorded on April visa statement</t>
        </r>
      </text>
    </comment>
    <comment ref="K84" authorId="0" shapeId="0" xr:uid="{95B59B53-9AB3-4067-8678-8F1BE748E9E6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$8898.10 removed from golf and added to Gala, to correct Nashville hotel coding error</t>
        </r>
      </text>
    </comment>
    <comment ref="K88" authorId="0" shapeId="0" xr:uid="{AEEF5A92-BD1C-4A6C-9B6C-B80BC570697F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40 westt invoice entered but revenue not received yet. $20247.36</t>
        </r>
      </text>
    </comment>
    <comment ref="K109" authorId="0" shapeId="0" xr:uid="{D6E426A8-D911-42D5-872A-7FBA4BE1E41F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estimate for q4 added
</t>
        </r>
      </text>
    </comment>
    <comment ref="L118" authorId="0" shapeId="0" xr:uid="{C2512C0D-9173-46CC-80D4-5ABE1C0E2A93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adjusted to reflect additional paintings added to BFL insurance
</t>
        </r>
      </text>
    </comment>
    <comment ref="L124" authorId="0" shapeId="0" xr:uid="{EF6CC121-DEE0-478A-BCFC-A15AB26106EC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added $8000.00 due to increase in storage for 2 Pandora units vs 1 Uhaul unit</t>
        </r>
      </text>
    </comment>
    <comment ref="L139" authorId="0" shapeId="0" xr:uid="{B8818FA2-590A-4B11-8E6B-2424F0ADC60C}">
      <text>
        <r>
          <rPr>
            <b/>
            <sz val="9"/>
            <color indexed="81"/>
            <rFont val="Tahoma"/>
            <family val="2"/>
          </rPr>
          <t>Natalie Lason:</t>
        </r>
        <r>
          <rPr>
            <sz val="9"/>
            <color indexed="81"/>
            <rFont val="Tahoma"/>
            <family val="2"/>
          </rPr>
          <t xml:space="preserve">
estimate by RBC PH&amp;N</t>
        </r>
      </text>
    </comment>
  </commentList>
</comments>
</file>

<file path=xl/sharedStrings.xml><?xml version="1.0" encoding="utf-8"?>
<sst xmlns="http://schemas.openxmlformats.org/spreadsheetml/2006/main" count="384" uniqueCount="374">
  <si>
    <t>Annual Campaign</t>
  </si>
  <si>
    <t>Total revenues excluding events</t>
  </si>
  <si>
    <t>Fundraising events, net of costs</t>
  </si>
  <si>
    <t>Total</t>
  </si>
  <si>
    <t>Expenses (excluding events expenses)</t>
  </si>
  <si>
    <t>Net income before grants</t>
  </si>
  <si>
    <t>Software</t>
  </si>
  <si>
    <t>10-8300</t>
  </si>
  <si>
    <t>website domaine names</t>
  </si>
  <si>
    <t>10-7050</t>
  </si>
  <si>
    <t>Business Development</t>
  </si>
  <si>
    <t xml:space="preserve">West Island Chamber of Commerce </t>
  </si>
  <si>
    <t>Total Business Development</t>
  </si>
  <si>
    <t>10-8520</t>
  </si>
  <si>
    <t xml:space="preserve">Auditors </t>
  </si>
  <si>
    <t>Summary:</t>
  </si>
  <si>
    <t>blackbaud (FE/RE)</t>
  </si>
  <si>
    <t xml:space="preserve">Adobe creative cloud </t>
  </si>
  <si>
    <t>2018-2019</t>
  </si>
  <si>
    <t>2019-2020</t>
  </si>
  <si>
    <t xml:space="preserve">Note: </t>
  </si>
  <si>
    <t>see events or annual campaign</t>
  </si>
  <si>
    <t>Publicity: (10-5120)</t>
  </si>
  <si>
    <t>2020-2021</t>
  </si>
  <si>
    <t>Carole</t>
  </si>
  <si>
    <t>business conference (Toronto - Cause Marketing)</t>
  </si>
  <si>
    <t>2021-2022</t>
  </si>
  <si>
    <t xml:space="preserve"> </t>
  </si>
  <si>
    <t>Partnership</t>
  </si>
  <si>
    <t>2022-2023</t>
  </si>
  <si>
    <t>rounded</t>
  </si>
  <si>
    <t>gst</t>
  </si>
  <si>
    <t>qst</t>
  </si>
  <si>
    <t>- half tax</t>
  </si>
  <si>
    <t>website maintenance CATSYS</t>
  </si>
  <si>
    <t>($35x30 people) x3</t>
  </si>
  <si>
    <t>Meals</t>
  </si>
  <si>
    <t>Partner Cocktails</t>
  </si>
  <si>
    <t>2023-2024</t>
  </si>
  <si>
    <t>#</t>
  </si>
  <si>
    <t>Parking lot + Kirkland signage</t>
  </si>
  <si>
    <t>• Changing 8 large signs
• 1 cafeteria, 2 Kirkland, 5 parking lot
• Arrive unmounted. Services techniques mounts them and installs. Kirkland installs their own</t>
  </si>
  <si>
    <t>Updated Fdn logo decal for door</t>
  </si>
  <si>
    <t>Donor wall updates</t>
  </si>
  <si>
    <t>Donor wall - new fdn logo</t>
  </si>
  <si>
    <t>Planned giving pamphlet</t>
  </si>
  <si>
    <t>Marketing (Communications) 10-5125</t>
  </si>
  <si>
    <t>included in 10-5125</t>
  </si>
  <si>
    <t>Publicity for events :</t>
  </si>
  <si>
    <t>Publicity for annual campaign:</t>
  </si>
  <si>
    <t>Donor recogniton 10-5130</t>
  </si>
  <si>
    <t>Mailings</t>
  </si>
  <si>
    <t>Patient Mailing 10-5105:</t>
  </si>
  <si>
    <t>Annual Campaign Mailings 10-5115</t>
  </si>
  <si>
    <t>mailing cost</t>
  </si>
  <si>
    <t>campaign costs</t>
  </si>
  <si>
    <t>Total AC</t>
  </si>
  <si>
    <t>costs do not include graphic work</t>
  </si>
  <si>
    <t>Note: mailing costs include translation, printing, postage and mailhouse</t>
  </si>
  <si>
    <t>graphic art, printing, etc</t>
  </si>
  <si>
    <t>Direct Mail and postage 10-5100:</t>
  </si>
  <si>
    <t>Postage meter rental $200 quarterly (Quadient)</t>
  </si>
  <si>
    <t>business reply transactions</t>
  </si>
  <si>
    <t>annual business reply fee 1/yr</t>
  </si>
  <si>
    <t>Telecommunicaitons 10-8115</t>
  </si>
  <si>
    <t>Nathalie Kamel</t>
  </si>
  <si>
    <t>Carole Ravenda</t>
  </si>
  <si>
    <t>Natalie Lason</t>
  </si>
  <si>
    <t>Michelle Campbell</t>
  </si>
  <si>
    <t>per month</t>
  </si>
  <si>
    <t>per yr</t>
  </si>
  <si>
    <t>Does not include cost of graphic work</t>
  </si>
  <si>
    <t>Elevator doors</t>
  </si>
  <si>
    <t>• 6 floors x 3 doors (main elevator bank)
• Additional $700+ tx for additional 2 elevators</t>
  </si>
  <si>
    <t>Decals on fdn pillars</t>
  </si>
  <si>
    <t>Outdoor rotuna banners</t>
  </si>
  <si>
    <t>Social media posting tool</t>
  </si>
  <si>
    <t>• Continue contract with existing company
• Sprout Social
• Allows for reports, best days/times to post on each platform
• Easy to use (used to it now)</t>
  </si>
  <si>
    <t>TOTAL</t>
  </si>
  <si>
    <t>• Adding decals to the blue pillars by the Foundation office door (Maybe $1000.00) TBD</t>
  </si>
  <si>
    <t>for 250 units</t>
  </si>
  <si>
    <t>Capital Campaign</t>
  </si>
  <si>
    <t>3 postage refills</t>
  </si>
  <si>
    <t>ink or accessories</t>
  </si>
  <si>
    <t>work with NK - GL saved actual 30K</t>
  </si>
  <si>
    <t>Spring</t>
  </si>
  <si>
    <t>Fall</t>
  </si>
  <si>
    <t>Holiday</t>
  </si>
  <si>
    <t xml:space="preserve">Carole got new phone, but got amazing loyalty price and reduced ty for multiple phones </t>
  </si>
  <si>
    <t>docusign</t>
  </si>
  <si>
    <t>Quickbooks</t>
  </si>
  <si>
    <t>zoom</t>
  </si>
  <si>
    <t>canva</t>
  </si>
  <si>
    <t>canva replaced picmonkey - free as per MC</t>
  </si>
  <si>
    <t>april</t>
  </si>
  <si>
    <t>Palliative Care</t>
  </si>
  <si>
    <t>Foundation Search</t>
  </si>
  <si>
    <t>• Includes installation
• Changing 3 banners  $5700</t>
  </si>
  <si>
    <t>June</t>
  </si>
  <si>
    <t>YE2025 actual</t>
  </si>
  <si>
    <t>Meta software</t>
  </si>
  <si>
    <t>2025-2026</t>
  </si>
  <si>
    <t>Lakeshore General Hospital Foundation</t>
  </si>
  <si>
    <t>Income statement by Year End</t>
  </si>
  <si>
    <t xml:space="preserve">     Revenues</t>
  </si>
  <si>
    <t>(1st year covid)</t>
  </si>
  <si>
    <t>(2nd year covid)</t>
  </si>
  <si>
    <t xml:space="preserve">          Donations</t>
  </si>
  <si>
    <t xml:space="preserve">               10-4100</t>
  </si>
  <si>
    <t>General Donations</t>
  </si>
  <si>
    <t>Patient mailers (manual separation)</t>
  </si>
  <si>
    <t xml:space="preserve">               10-4110</t>
  </si>
  <si>
    <t>IM /In Honour</t>
  </si>
  <si>
    <t xml:space="preserve">               10-4120</t>
  </si>
  <si>
    <t xml:space="preserve">               20-4100</t>
  </si>
  <si>
    <t xml:space="preserve">               30-4100</t>
  </si>
  <si>
    <t>Donations to designated funds</t>
  </si>
  <si>
    <t xml:space="preserve">               10-4240</t>
  </si>
  <si>
    <t>Gifts in Kind revenue other</t>
  </si>
  <si>
    <t xml:space="preserve">               20-4240</t>
  </si>
  <si>
    <t>Gifts in Kind other - Capital Campaign</t>
  </si>
  <si>
    <t xml:space="preserve">               30-4240</t>
  </si>
  <si>
    <t>Gifts in Kind other</t>
  </si>
  <si>
    <t xml:space="preserve">          Bequests</t>
  </si>
  <si>
    <t xml:space="preserve">               10-4190</t>
  </si>
  <si>
    <t>Endowments and Bequests</t>
  </si>
  <si>
    <t xml:space="preserve">          Gifts in kind</t>
  </si>
  <si>
    <t xml:space="preserve">               10-4210</t>
  </si>
  <si>
    <t>Gifts of Marketable Securities - unrestricted</t>
  </si>
  <si>
    <t xml:space="preserve">               30-4210</t>
  </si>
  <si>
    <t>Gifts of Marketable Securities - restricted</t>
  </si>
  <si>
    <t xml:space="preserve">          Fundraising activities</t>
  </si>
  <si>
    <t>10-4300-9010</t>
  </si>
  <si>
    <t>Fundraising events - revenue - Duck race</t>
  </si>
  <si>
    <t>10-4300-9011</t>
  </si>
  <si>
    <t>Fundraising events - revenue - Dollar&amp;Destinations</t>
  </si>
  <si>
    <t>10-4300-9020</t>
  </si>
  <si>
    <t>Fundraising events - revenue - Ball</t>
  </si>
  <si>
    <t>10-4300-9030</t>
  </si>
  <si>
    <t>Fundraising events - revenue - Golf</t>
  </si>
  <si>
    <t>10-4300-9070</t>
  </si>
  <si>
    <t>Fundraising events - revenue - Wrapping Fairview</t>
  </si>
  <si>
    <t>ly final yr</t>
  </si>
  <si>
    <t>10-4300-9074</t>
  </si>
  <si>
    <t>Fundraising events - revenue - Holiday Campaign</t>
  </si>
  <si>
    <t>10-4300-9090</t>
  </si>
  <si>
    <t>Fundraising events - revenue - Baton Rouge</t>
  </si>
  <si>
    <t>10-4300-9098</t>
  </si>
  <si>
    <t>Fundraising events - revenue - 40 Westt</t>
  </si>
  <si>
    <t>in cc</t>
  </si>
  <si>
    <t>10-4300-9099</t>
  </si>
  <si>
    <t>Fundraising events - revenue - Misc and Third Party</t>
  </si>
  <si>
    <t>10-4300-9101</t>
  </si>
  <si>
    <t>Fundraising events - revenue - Walk-a-thon</t>
  </si>
  <si>
    <t>10-4300-9102</t>
  </si>
  <si>
    <t>Fundraising events - revenue - Dragon Boat</t>
  </si>
  <si>
    <t>10-4300-9103</t>
  </si>
  <si>
    <t>Fundraising events - revenue - Lakeshore Rocks</t>
  </si>
  <si>
    <t>10-4300-1000</t>
  </si>
  <si>
    <t>Fundraising events - revenue - General fundraising</t>
  </si>
  <si>
    <t xml:space="preserve">               10-4350</t>
  </si>
  <si>
    <t>Fundraising Events - Accrued Revenue</t>
  </si>
  <si>
    <t xml:space="preserve">          TV Commissions/WIFI</t>
  </si>
  <si>
    <t xml:space="preserve">               10-4420</t>
  </si>
  <si>
    <t>TV Commissions</t>
  </si>
  <si>
    <t xml:space="preserve">               10-4425</t>
  </si>
  <si>
    <t>WIFI link donations</t>
  </si>
  <si>
    <t xml:space="preserve">          Change in cash surrender value of insurance policy</t>
  </si>
  <si>
    <t xml:space="preserve">               10-4220</t>
  </si>
  <si>
    <t>Gifts of Insurance</t>
  </si>
  <si>
    <t xml:space="preserve">          Other miscellaneous income</t>
  </si>
  <si>
    <t xml:space="preserve">               10-4450</t>
  </si>
  <si>
    <t>Accrued Revenue</t>
  </si>
  <si>
    <t xml:space="preserve">               10-4490</t>
  </si>
  <si>
    <t>Misc Revenue</t>
  </si>
  <si>
    <t xml:space="preserve">          Governnment grants</t>
  </si>
  <si>
    <t xml:space="preserve">               10-4800</t>
  </si>
  <si>
    <t>Government grants</t>
  </si>
  <si>
    <t xml:space="preserve">               20-4800</t>
  </si>
  <si>
    <t>Capital Campaign - Government grants</t>
  </si>
  <si>
    <t xml:space="preserve">          Investment Income</t>
  </si>
  <si>
    <t xml:space="preserve">               10-4900</t>
  </si>
  <si>
    <t>Interest on investments</t>
  </si>
  <si>
    <t xml:space="preserve">               10-4910</t>
  </si>
  <si>
    <t>Interest income</t>
  </si>
  <si>
    <t xml:space="preserve">               10-4920</t>
  </si>
  <si>
    <t>Dividend income</t>
  </si>
  <si>
    <t xml:space="preserve">               10-4940</t>
  </si>
  <si>
    <t>Gain/Loss on disposal</t>
  </si>
  <si>
    <t xml:space="preserve">               10-4998</t>
  </si>
  <si>
    <t>Fee Recovery Revenue</t>
  </si>
  <si>
    <t xml:space="preserve">               10-4700</t>
  </si>
  <si>
    <t xml:space="preserve">          Total</t>
  </si>
  <si>
    <t xml:space="preserve">     Total Revenues</t>
  </si>
  <si>
    <t xml:space="preserve">     Expenses</t>
  </si>
  <si>
    <t xml:space="preserve">          Direct costs</t>
  </si>
  <si>
    <t xml:space="preserve">               10-5100</t>
  </si>
  <si>
    <t>Direct mail</t>
  </si>
  <si>
    <t xml:space="preserve">               10-5105</t>
  </si>
  <si>
    <t>Ex-patient mailing</t>
  </si>
  <si>
    <t xml:space="preserve">               10-5115</t>
  </si>
  <si>
    <t xml:space="preserve">               10-5120</t>
  </si>
  <si>
    <t>Publicity</t>
  </si>
  <si>
    <t xml:space="preserve">               10-5125</t>
  </si>
  <si>
    <t>Marketing (brochures, pamphlets...)</t>
  </si>
  <si>
    <t xml:space="preserve">               10-5130</t>
  </si>
  <si>
    <t>Donor Recognition</t>
  </si>
  <si>
    <t xml:space="preserve">               10-5810</t>
  </si>
  <si>
    <t>Credit card fees</t>
  </si>
  <si>
    <t xml:space="preserve">          Fundraising expenses</t>
  </si>
  <si>
    <t>10-5300-9010</t>
  </si>
  <si>
    <t>Fundraising events - expenses - Duck race</t>
  </si>
  <si>
    <t>10-5300-9011</t>
  </si>
  <si>
    <t>Fundraising events - expenses - Dollar&amp;Destinations</t>
  </si>
  <si>
    <t>10-5300-9020</t>
  </si>
  <si>
    <t>Fundraising events - expenses - Ball</t>
  </si>
  <si>
    <t>10-5300-9030</t>
  </si>
  <si>
    <t>Fundraising events - expenses - Golf</t>
  </si>
  <si>
    <t>10-5300-9070</t>
  </si>
  <si>
    <t>Fundraising events - expenses - Wrapping Fairview</t>
  </si>
  <si>
    <t>10-5300-9074</t>
  </si>
  <si>
    <t>Fundraising events - expenses - Holiday Campaign</t>
  </si>
  <si>
    <t>10-5300-9090</t>
  </si>
  <si>
    <t>Fundraising events - expenses - Baton Rouge</t>
  </si>
  <si>
    <t>10-5300-9098</t>
  </si>
  <si>
    <t>Fundraising events - expenses - 40 Westt</t>
  </si>
  <si>
    <t>10-5300-9099</t>
  </si>
  <si>
    <t>Fundraising events - expenses - Misc and Third Party</t>
  </si>
  <si>
    <t>10-5300-9101</t>
  </si>
  <si>
    <t>Fundraising events - expenses - Walk-a-thon</t>
  </si>
  <si>
    <t>10-5300-9102</t>
  </si>
  <si>
    <t>Fundraising events - expenses - Dragon Boat</t>
  </si>
  <si>
    <t>10-5300-9103</t>
  </si>
  <si>
    <t>Fundraising events - expenses - Lakeshore Rocks</t>
  </si>
  <si>
    <t>10-5300-1000</t>
  </si>
  <si>
    <t>Fundraising events - expenses - General fundraising</t>
  </si>
  <si>
    <t xml:space="preserve">          Gift in kind expenses</t>
  </si>
  <si>
    <t xml:space="preserve">               10-5335</t>
  </si>
  <si>
    <t>Gift in kind expense- events</t>
  </si>
  <si>
    <t xml:space="preserve">               10-5340</t>
  </si>
  <si>
    <t>Gift in kind expense Unrestricted</t>
  </si>
  <si>
    <t xml:space="preserve">               20-5340</t>
  </si>
  <si>
    <t>Gift in Kind Capital Campaign Expense</t>
  </si>
  <si>
    <t xml:space="preserve">               30-5335</t>
  </si>
  <si>
    <t>Gift in kind - other restricted funds</t>
  </si>
  <si>
    <t xml:space="preserve">               30-5340</t>
  </si>
  <si>
    <t>Gift in Kind expense Restricted</t>
  </si>
  <si>
    <t xml:space="preserve">          Human resources</t>
  </si>
  <si>
    <t xml:space="preserve">               Salaries and benefits</t>
  </si>
  <si>
    <t xml:space="preserve">                    10-6010</t>
  </si>
  <si>
    <t>Salaries</t>
  </si>
  <si>
    <t xml:space="preserve">                    10-6011</t>
  </si>
  <si>
    <t>Fringe Benefits</t>
  </si>
  <si>
    <t xml:space="preserve">                    10-6012</t>
  </si>
  <si>
    <t xml:space="preserve">                    10-6013</t>
  </si>
  <si>
    <t>Disability insurance</t>
  </si>
  <si>
    <t xml:space="preserve">                    10-6014</t>
  </si>
  <si>
    <t>LGH parking for employees</t>
  </si>
  <si>
    <t xml:space="preserve">                    10-6015</t>
  </si>
  <si>
    <t>Group insurance</t>
  </si>
  <si>
    <t xml:space="preserve">                    10-6016</t>
  </si>
  <si>
    <t>CSST</t>
  </si>
  <si>
    <t xml:space="preserve">               Purchased services</t>
  </si>
  <si>
    <t xml:space="preserve">                    10-6020</t>
  </si>
  <si>
    <t>Professional services</t>
  </si>
  <si>
    <t xml:space="preserve">                    10-6022</t>
  </si>
  <si>
    <t>Software implementation &amp; training</t>
  </si>
  <si>
    <t xml:space="preserve">                    10-6026</t>
  </si>
  <si>
    <t>Translation</t>
  </si>
  <si>
    <t xml:space="preserve">                    10-6028</t>
  </si>
  <si>
    <t>Recruitment fees - Human Resources</t>
  </si>
  <si>
    <t xml:space="preserve">               Office expenses</t>
  </si>
  <si>
    <t xml:space="preserve">                    10-8100</t>
  </si>
  <si>
    <t>Office expenses</t>
  </si>
  <si>
    <t xml:space="preserve">                    10-8115</t>
  </si>
  <si>
    <t>Telecommunications</t>
  </si>
  <si>
    <t xml:space="preserve">                    10-8190</t>
  </si>
  <si>
    <t>Equipment Contract &amp; maintenance</t>
  </si>
  <si>
    <t xml:space="preserve">                    10-8200</t>
  </si>
  <si>
    <t>Miscellaneous</t>
  </si>
  <si>
    <t xml:space="preserve">                    10-8300</t>
  </si>
  <si>
    <t>Software and Software Maintenance and Support</t>
  </si>
  <si>
    <t xml:space="preserve">                    10-8510</t>
  </si>
  <si>
    <t>Legal fees</t>
  </si>
  <si>
    <t xml:space="preserve">                    10-8520</t>
  </si>
  <si>
    <t>Audit fees</t>
  </si>
  <si>
    <t xml:space="preserve">                    10-8530</t>
  </si>
  <si>
    <t>Compliance</t>
  </si>
  <si>
    <t xml:space="preserve">                    10-7050</t>
  </si>
  <si>
    <t>Business development</t>
  </si>
  <si>
    <t xml:space="preserve">                    10-7052</t>
  </si>
  <si>
    <t>Internal meetings</t>
  </si>
  <si>
    <t xml:space="preserve">                    10-7055</t>
  </si>
  <si>
    <t>Dues &amp; Membership</t>
  </si>
  <si>
    <t xml:space="preserve">                    10-7060</t>
  </si>
  <si>
    <t>Travel &amp; Parking</t>
  </si>
  <si>
    <t xml:space="preserve">               Interest and bank charges</t>
  </si>
  <si>
    <t xml:space="preserve">                    10-8810</t>
  </si>
  <si>
    <t>Bank charges</t>
  </si>
  <si>
    <t xml:space="preserve">                    10-8850</t>
  </si>
  <si>
    <t>Investment Management Fees</t>
  </si>
  <si>
    <t xml:space="preserve">               Bad Debt</t>
  </si>
  <si>
    <t xml:space="preserve">                    10-8800</t>
  </si>
  <si>
    <t>Bad Debt</t>
  </si>
  <si>
    <t xml:space="preserve">               Amortization</t>
  </si>
  <si>
    <t xml:space="preserve">                    10-8900</t>
  </si>
  <si>
    <t>Depreciation</t>
  </si>
  <si>
    <t xml:space="preserve">     Total Expenses</t>
  </si>
  <si>
    <t>SURPLUS/(DEFICIT) BEFORE GRANTS</t>
  </si>
  <si>
    <t>SimplyPhi</t>
  </si>
  <si>
    <t>go daddy</t>
  </si>
  <si>
    <t>grammarly</t>
  </si>
  <si>
    <t>$23.10 per month after 1/2 tax</t>
  </si>
  <si>
    <t>monthly</t>
  </si>
  <si>
    <t>$483 USD</t>
  </si>
  <si>
    <t>vimeo</t>
  </si>
  <si>
    <t>October</t>
  </si>
  <si>
    <t>Graphic Design - Mauve Mango</t>
  </si>
  <si>
    <t>Maggie Costa</t>
  </si>
  <si>
    <t>Avg $126/month $1512 per year</t>
  </si>
  <si>
    <t>Promo video</t>
  </si>
  <si>
    <t>see marketing</t>
  </si>
  <si>
    <t>LLO Ad</t>
  </si>
  <si>
    <t>Ads - suburban</t>
  </si>
  <si>
    <t>see events</t>
  </si>
  <si>
    <t>see mailings</t>
  </si>
  <si>
    <t>Branding New Logo</t>
  </si>
  <si>
    <t>Plaques and recognition events</t>
  </si>
  <si>
    <t xml:space="preserve">Audit 10-8520 </t>
  </si>
  <si>
    <t>Desjardins</t>
  </si>
  <si>
    <t>RBC PH&amp;N- estimate by RBC</t>
  </si>
  <si>
    <t xml:space="preserve">RE FE NXT with Membership subscription added </t>
  </si>
  <si>
    <t>2024-2025</t>
  </si>
  <si>
    <t>2025-2026  Q3</t>
  </si>
  <si>
    <t>2026-2027</t>
  </si>
  <si>
    <t>Budget</t>
  </si>
  <si>
    <t>Budget LY</t>
  </si>
  <si>
    <t>Health Insurance</t>
  </si>
  <si>
    <t>investments done to Dec 31, 2025 Q3</t>
  </si>
  <si>
    <t>TS1-variable rate - if we keep $2,000,000 @2.7%</t>
  </si>
  <si>
    <t>ly numbers - rbc new estimate ?</t>
  </si>
  <si>
    <t>based on amount and rate in TS1 now March 19, 2026</t>
  </si>
  <si>
    <t>YE2027</t>
  </si>
  <si>
    <t>Quote YE2027</t>
  </si>
  <si>
    <t>doodle</t>
  </si>
  <si>
    <t>old amount 595$</t>
  </si>
  <si>
    <t>July</t>
  </si>
  <si>
    <t>techsoup</t>
  </si>
  <si>
    <t>Hootesuite</t>
  </si>
  <si>
    <t>open ai - chat gpt</t>
  </si>
  <si>
    <t>$17USD monthly</t>
  </si>
  <si>
    <t>Mary Picard</t>
  </si>
  <si>
    <t xml:space="preserve"> plus roaming cushion</t>
  </si>
  <si>
    <t>May</t>
  </si>
  <si>
    <t>keep at $20.000</t>
  </si>
  <si>
    <t>2026-2027 rough estimate</t>
  </si>
  <si>
    <t>Rebranding material</t>
  </si>
  <si>
    <t>Digital wall</t>
  </si>
  <si>
    <t xml:space="preserve">Donor wall </t>
  </si>
  <si>
    <t>n/a with Digital wall</t>
  </si>
  <si>
    <t>Budget 2026-2027 Draft</t>
  </si>
  <si>
    <t>mail xmas cards/ stamps</t>
  </si>
  <si>
    <t>Kopel mailing house storage fee</t>
  </si>
  <si>
    <t>lease quarterly</t>
  </si>
  <si>
    <t>copy contract based on copies estimate</t>
  </si>
  <si>
    <t>Equipement contract and maintenace: Canon Copier: 10-8190</t>
  </si>
  <si>
    <t>10-5300-9104</t>
  </si>
  <si>
    <t>Fundraising events - expenses - Cora Breakfast-NEW</t>
  </si>
  <si>
    <t>10-4300-9104</t>
  </si>
  <si>
    <t xml:space="preserve">Fundraising events - revenue - Cora Breakfast </t>
  </si>
  <si>
    <t>estimate by RBC PH&amp;N</t>
  </si>
  <si>
    <t>income yield of 2.3%</t>
  </si>
  <si>
    <t>2025-2026 Rev to Feb 28, Exp to preliminary Mar 31 - plus estimates of outstandng trx</t>
  </si>
  <si>
    <t>Change in Fair Market Value of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</si>
</sst>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0.0%"/>
    <numFmt numFmtId="166" formatCode="&quot;$&quot;#,##0"/>
    <numFmt numFmtId="167" formatCode="[$$-409]#,##0;\([$$-409]#,##0\);[$$-409]#,##0"/>
    <numFmt numFmtId="168" formatCode="[$-409]yyyy\-mm\-dd\ h\:mm\:ss\ AM/PM"/>
    <numFmt numFmtId="169" formatCode="[$$-409]#,##0.00"/>
  </numFmts>
  <fonts count="4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color indexed="8"/>
      <name val="Arial"/>
      <family val="2"/>
    </font>
    <font>
      <sz val="10"/>
      <color theme="1"/>
      <name val="Gill San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color indexed="8"/>
      <name val="MS Sans Serif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FF"/>
      <name val="MS Sans Serif"/>
    </font>
    <font>
      <sz val="10"/>
      <color rgb="FFFF33CC"/>
      <name val="MS Sans Serif"/>
    </font>
    <font>
      <sz val="10"/>
      <color rgb="FF000000"/>
      <name val="Arial"/>
      <family val="2"/>
    </font>
    <font>
      <b/>
      <sz val="14.5"/>
      <name val="Segoe UI"/>
      <family val="2"/>
    </font>
    <font>
      <sz val="12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8"/>
      <color rgb="FFFF33CC"/>
      <name val="Segoe UI"/>
      <family val="2"/>
    </font>
    <font>
      <sz val="8"/>
      <color rgb="FF000000"/>
      <name val="Arial"/>
      <family val="2"/>
    </font>
    <font>
      <sz val="8"/>
      <color rgb="FF0070C0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sz val="10"/>
      <name val="MS Sans Serif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8" fillId="0" borderId="0"/>
  </cellStyleXfs>
  <cellXfs count="138">
    <xf numFmtId="0" fontId="0" fillId="0" borderId="0" xfId="0"/>
    <xf numFmtId="0" fontId="11" fillId="0" borderId="0" xfId="0" applyFont="1"/>
    <xf numFmtId="43" fontId="0" fillId="0" borderId="0" xfId="1" applyFont="1"/>
    <xf numFmtId="0" fontId="11" fillId="0" borderId="0" xfId="0" applyFont="1" applyBorder="1"/>
    <xf numFmtId="0" fontId="0" fillId="0" borderId="0" xfId="0" applyBorder="1"/>
    <xf numFmtId="43" fontId="0" fillId="0" borderId="0" xfId="1" applyFont="1" applyBorder="1"/>
    <xf numFmtId="0" fontId="12" fillId="0" borderId="0" xfId="0" applyFont="1" applyFill="1"/>
    <xf numFmtId="43" fontId="12" fillId="0" borderId="0" xfId="1" applyFont="1" applyFill="1"/>
    <xf numFmtId="0" fontId="10" fillId="0" borderId="0" xfId="0" applyFont="1"/>
    <xf numFmtId="43" fontId="10" fillId="0" borderId="0" xfId="1" applyFont="1"/>
    <xf numFmtId="16" fontId="0" fillId="0" borderId="0" xfId="0" applyNumberFormat="1"/>
    <xf numFmtId="0" fontId="0" fillId="4" borderId="0" xfId="0" applyFill="1"/>
    <xf numFmtId="43" fontId="0" fillId="4" borderId="0" xfId="1" applyFont="1" applyFill="1"/>
    <xf numFmtId="0" fontId="10" fillId="4" borderId="0" xfId="0" applyFont="1" applyFill="1"/>
    <xf numFmtId="0" fontId="0" fillId="0" borderId="0" xfId="0" applyFill="1"/>
    <xf numFmtId="44" fontId="0" fillId="0" borderId="0" xfId="21" applyFont="1" applyFill="1"/>
    <xf numFmtId="44" fontId="0" fillId="0" borderId="0" xfId="21" applyFont="1"/>
    <xf numFmtId="44" fontId="0" fillId="0" borderId="2" xfId="21" applyFont="1" applyBorder="1"/>
    <xf numFmtId="44" fontId="0" fillId="0" borderId="2" xfId="21" applyFont="1" applyFill="1" applyBorder="1"/>
    <xf numFmtId="44" fontId="0" fillId="0" borderId="0" xfId="21" applyFont="1" applyBorder="1"/>
    <xf numFmtId="44" fontId="0" fillId="4" borderId="0" xfId="21" applyFont="1" applyFill="1"/>
    <xf numFmtId="44" fontId="12" fillId="0" borderId="0" xfId="21" applyFont="1" applyFill="1"/>
    <xf numFmtId="44" fontId="0" fillId="0" borderId="1" xfId="21" applyFont="1" applyBorder="1"/>
    <xf numFmtId="0" fontId="0" fillId="0" borderId="0" xfId="0" applyFill="1" applyBorder="1"/>
    <xf numFmtId="0" fontId="0" fillId="0" borderId="0" xfId="0" quotePrefix="1" applyBorder="1"/>
    <xf numFmtId="6" fontId="0" fillId="0" borderId="2" xfId="21" applyNumberFormat="1" applyFont="1" applyBorder="1"/>
    <xf numFmtId="44" fontId="11" fillId="0" borderId="0" xfId="21" applyFont="1" applyFill="1"/>
    <xf numFmtId="0" fontId="0" fillId="2" borderId="0" xfId="0" applyFill="1"/>
    <xf numFmtId="0" fontId="10" fillId="0" borderId="0" xfId="0" applyFont="1" applyFill="1"/>
    <xf numFmtId="0" fontId="8" fillId="0" borderId="0" xfId="25" applyAlignment="1">
      <alignment horizontal="left" vertical="center"/>
    </xf>
    <xf numFmtId="0" fontId="6" fillId="0" borderId="0" xfId="25" applyFont="1" applyAlignment="1">
      <alignment horizontal="left" vertical="center"/>
    </xf>
    <xf numFmtId="44" fontId="8" fillId="0" borderId="0" xfId="21" applyFont="1" applyAlignment="1">
      <alignment horizontal="left" vertical="center"/>
    </xf>
    <xf numFmtId="0" fontId="6" fillId="4" borderId="0" xfId="25" applyFont="1" applyFill="1" applyAlignment="1">
      <alignment horizontal="left" vertical="center"/>
    </xf>
    <xf numFmtId="0" fontId="8" fillId="4" borderId="0" xfId="25" applyFill="1" applyAlignment="1">
      <alignment horizontal="left" vertical="center"/>
    </xf>
    <xf numFmtId="44" fontId="8" fillId="4" borderId="0" xfId="21" applyFont="1" applyFill="1" applyAlignment="1">
      <alignment horizontal="left" vertical="center"/>
    </xf>
    <xf numFmtId="0" fontId="7" fillId="0" borderId="0" xfId="25" applyFont="1" applyFill="1" applyAlignment="1">
      <alignment horizontal="left" vertical="center"/>
    </xf>
    <xf numFmtId="0" fontId="8" fillId="0" borderId="0" xfId="25" applyFill="1" applyAlignment="1">
      <alignment horizontal="left" vertical="center"/>
    </xf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0" fontId="5" fillId="0" borderId="0" xfId="25" applyFont="1" applyAlignment="1">
      <alignment horizontal="left" vertical="center"/>
    </xf>
    <xf numFmtId="0" fontId="26" fillId="0" borderId="2" xfId="0" applyFont="1" applyBorder="1"/>
    <xf numFmtId="0" fontId="26" fillId="0" borderId="0" xfId="0" applyFont="1"/>
    <xf numFmtId="0" fontId="27" fillId="0" borderId="0" xfId="0" applyFont="1"/>
    <xf numFmtId="0" fontId="27" fillId="0" borderId="2" xfId="0" applyFont="1" applyBorder="1"/>
    <xf numFmtId="0" fontId="27" fillId="0" borderId="0" xfId="0" applyFont="1" applyBorder="1"/>
    <xf numFmtId="44" fontId="26" fillId="0" borderId="2" xfId="21" applyFont="1" applyFill="1" applyBorder="1"/>
    <xf numFmtId="44" fontId="26" fillId="0" borderId="3" xfId="21" applyFont="1" applyFill="1" applyBorder="1"/>
    <xf numFmtId="0" fontId="28" fillId="0" borderId="0" xfId="26"/>
    <xf numFmtId="167" fontId="32" fillId="0" borderId="8" xfId="26" applyNumberFormat="1" applyFont="1" applyBorder="1" applyAlignment="1">
      <alignment horizontal="center"/>
    </xf>
    <xf numFmtId="167" fontId="33" fillId="0" borderId="8" xfId="26" applyNumberFormat="1" applyFont="1" applyBorder="1" applyAlignment="1">
      <alignment horizontal="center"/>
    </xf>
    <xf numFmtId="0" fontId="32" fillId="0" borderId="0" xfId="26" applyFont="1"/>
    <xf numFmtId="167" fontId="32" fillId="5" borderId="8" xfId="26" applyNumberFormat="1" applyFont="1" applyFill="1" applyBorder="1" applyAlignment="1">
      <alignment horizontal="right"/>
    </xf>
    <xf numFmtId="167" fontId="28" fillId="0" borderId="0" xfId="26" applyNumberFormat="1"/>
    <xf numFmtId="167" fontId="34" fillId="0" borderId="0" xfId="26" applyNumberFormat="1" applyFont="1" applyAlignment="1">
      <alignment horizontal="right"/>
    </xf>
    <xf numFmtId="49" fontId="31" fillId="0" borderId="0" xfId="26" applyNumberFormat="1" applyFont="1" applyAlignment="1">
      <alignment vertical="top"/>
    </xf>
    <xf numFmtId="167" fontId="31" fillId="0" borderId="0" xfId="26" applyNumberFormat="1" applyFont="1" applyAlignment="1">
      <alignment horizontal="right" vertical="top"/>
    </xf>
    <xf numFmtId="49" fontId="31" fillId="0" borderId="0" xfId="26" applyNumberFormat="1" applyFont="1" applyAlignment="1">
      <alignment horizontal="left" vertical="top"/>
    </xf>
    <xf numFmtId="167" fontId="31" fillId="0" borderId="0" xfId="26" applyNumberFormat="1" applyFont="1" applyFill="1" applyAlignment="1">
      <alignment horizontal="right" vertical="top"/>
    </xf>
    <xf numFmtId="167" fontId="31" fillId="0" borderId="9" xfId="26" applyNumberFormat="1" applyFont="1" applyBorder="1" applyAlignment="1">
      <alignment horizontal="right" vertical="top"/>
    </xf>
    <xf numFmtId="49" fontId="31" fillId="0" borderId="0" xfId="26" applyNumberFormat="1" applyFont="1" applyAlignment="1">
      <alignment horizontal="center" vertical="top"/>
    </xf>
    <xf numFmtId="167" fontId="31" fillId="0" borderId="8" xfId="26" applyNumberFormat="1" applyFont="1" applyBorder="1" applyAlignment="1">
      <alignment horizontal="right" vertical="top"/>
    </xf>
    <xf numFmtId="167" fontId="32" fillId="7" borderId="8" xfId="26" applyNumberFormat="1" applyFont="1" applyFill="1" applyBorder="1" applyAlignment="1">
      <alignment horizontal="right" vertical="top"/>
    </xf>
    <xf numFmtId="167" fontId="32" fillId="8" borderId="8" xfId="26" applyNumberFormat="1" applyFont="1" applyFill="1" applyBorder="1" applyAlignment="1">
      <alignment horizontal="right" vertical="top"/>
    </xf>
    <xf numFmtId="167" fontId="32" fillId="0" borderId="8" xfId="26" applyNumberFormat="1" applyFont="1" applyBorder="1" applyAlignment="1">
      <alignment horizontal="right" vertical="top"/>
    </xf>
    <xf numFmtId="167" fontId="31" fillId="0" borderId="9" xfId="26" applyNumberFormat="1" applyFont="1" applyFill="1" applyBorder="1" applyAlignment="1">
      <alignment horizontal="right" vertical="top"/>
    </xf>
    <xf numFmtId="49" fontId="31" fillId="0" borderId="0" xfId="26" applyNumberFormat="1" applyFont="1" applyFill="1" applyAlignment="1">
      <alignment vertical="top"/>
    </xf>
    <xf numFmtId="0" fontId="28" fillId="0" borderId="0" xfId="26" applyFill="1"/>
    <xf numFmtId="167" fontId="28" fillId="0" borderId="0" xfId="26" applyNumberFormat="1" applyFill="1"/>
    <xf numFmtId="167" fontId="35" fillId="0" borderId="0" xfId="26" applyNumberFormat="1" applyFont="1" applyAlignment="1">
      <alignment horizontal="right" vertical="top"/>
    </xf>
    <xf numFmtId="0" fontId="34" fillId="0" borderId="0" xfId="26" applyFont="1"/>
    <xf numFmtId="0" fontId="34" fillId="0" borderId="0" xfId="26" applyFont="1" applyFill="1"/>
    <xf numFmtId="167" fontId="32" fillId="0" borderId="8" xfId="26" applyNumberFormat="1" applyFont="1" applyBorder="1" applyAlignment="1">
      <alignment horizontal="center"/>
    </xf>
    <xf numFmtId="167" fontId="32" fillId="4" borderId="8" xfId="26" applyNumberFormat="1" applyFont="1" applyFill="1" applyBorder="1" applyAlignment="1">
      <alignment horizontal="right"/>
    </xf>
    <xf numFmtId="167" fontId="32" fillId="8" borderId="8" xfId="26" applyNumberFormat="1" applyFont="1" applyFill="1" applyBorder="1" applyAlignment="1">
      <alignment horizontal="right"/>
    </xf>
    <xf numFmtId="43" fontId="34" fillId="0" borderId="0" xfId="1" applyFont="1"/>
    <xf numFmtId="167" fontId="28" fillId="9" borderId="0" xfId="26" applyNumberFormat="1" applyFill="1" applyAlignment="1"/>
    <xf numFmtId="167" fontId="28" fillId="9" borderId="0" xfId="26" applyNumberFormat="1" applyFill="1"/>
    <xf numFmtId="165" fontId="28" fillId="9" borderId="0" xfId="26" applyNumberFormat="1" applyFill="1"/>
    <xf numFmtId="0" fontId="11" fillId="3" borderId="0" xfId="0" applyNumberFormat="1" applyFont="1" applyFill="1" applyBorder="1" applyAlignment="1" applyProtection="1"/>
    <xf numFmtId="0" fontId="28" fillId="9" borderId="0" xfId="26" applyFill="1"/>
    <xf numFmtId="44" fontId="8" fillId="0" borderId="0" xfId="21" applyFont="1" applyAlignment="1">
      <alignment horizontal="center" vertical="center"/>
    </xf>
    <xf numFmtId="6" fontId="0" fillId="0" borderId="4" xfId="0" applyNumberFormat="1" applyFill="1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 wrapText="1"/>
    </xf>
    <xf numFmtId="6" fontId="0" fillId="0" borderId="4" xfId="0" applyNumberFormat="1" applyFill="1" applyBorder="1" applyAlignment="1">
      <alignment horizontal="center" vertical="center" wrapText="1"/>
    </xf>
    <xf numFmtId="0" fontId="8" fillId="0" borderId="0" xfId="25" applyBorder="1" applyAlignment="1">
      <alignment horizontal="left" vertical="center"/>
    </xf>
    <xf numFmtId="44" fontId="8" fillId="0" borderId="0" xfId="21" applyFont="1" applyBorder="1" applyAlignment="1">
      <alignment horizontal="left" vertical="center"/>
    </xf>
    <xf numFmtId="0" fontId="3" fillId="0" borderId="0" xfId="25" applyFont="1" applyBorder="1" applyAlignment="1">
      <alignment horizontal="left" vertical="center"/>
    </xf>
    <xf numFmtId="0" fontId="4" fillId="0" borderId="0" xfId="25" applyFont="1" applyBorder="1" applyAlignment="1">
      <alignment horizontal="left" vertical="center"/>
    </xf>
    <xf numFmtId="0" fontId="8" fillId="0" borderId="0" xfId="25" applyFill="1" applyBorder="1" applyAlignment="1">
      <alignment horizontal="left" vertical="center"/>
    </xf>
    <xf numFmtId="44" fontId="4" fillId="0" borderId="0" xfId="21" applyFont="1" applyFill="1" applyBorder="1" applyAlignment="1">
      <alignment horizontal="left" vertical="center" wrapText="1"/>
    </xf>
    <xf numFmtId="0" fontId="6" fillId="0" borderId="0" xfId="25" applyFont="1" applyFill="1" applyBorder="1" applyAlignment="1">
      <alignment horizontal="left" vertical="center" wrapText="1"/>
    </xf>
    <xf numFmtId="0" fontId="8" fillId="0" borderId="0" xfId="25" applyFill="1" applyBorder="1" applyAlignment="1">
      <alignment horizontal="left" vertical="center" wrapText="1"/>
    </xf>
    <xf numFmtId="44" fontId="8" fillId="0" borderId="3" xfId="21" applyFont="1" applyBorder="1" applyAlignment="1">
      <alignment horizontal="left" vertical="center"/>
    </xf>
    <xf numFmtId="0" fontId="10" fillId="0" borderId="0" xfId="0" applyFont="1" applyBorder="1"/>
    <xf numFmtId="167" fontId="37" fillId="0" borderId="0" xfId="26" applyNumberFormat="1" applyFont="1" applyAlignment="1">
      <alignment horizontal="right" vertical="top"/>
    </xf>
    <xf numFmtId="43" fontId="0" fillId="0" borderId="1" xfId="1" applyFont="1" applyBorder="1"/>
    <xf numFmtId="0" fontId="17" fillId="0" borderId="0" xfId="0" applyFont="1"/>
    <xf numFmtId="43" fontId="17" fillId="0" borderId="2" xfId="1" applyFont="1" applyBorder="1"/>
    <xf numFmtId="167" fontId="32" fillId="0" borderId="8" xfId="26" applyNumberFormat="1" applyFont="1" applyBorder="1" applyAlignment="1">
      <alignment horizontal="center"/>
    </xf>
    <xf numFmtId="167" fontId="36" fillId="10" borderId="8" xfId="26" applyNumberFormat="1" applyFont="1" applyFill="1" applyBorder="1" applyAlignment="1">
      <alignment horizontal="right" wrapText="1"/>
    </xf>
    <xf numFmtId="167" fontId="36" fillId="8" borderId="8" xfId="26" applyNumberFormat="1" applyFont="1" applyFill="1" applyBorder="1" applyAlignment="1">
      <alignment horizontal="center" wrapText="1"/>
    </xf>
    <xf numFmtId="6" fontId="0" fillId="0" borderId="0" xfId="21" applyNumberFormat="1" applyFont="1" applyFill="1" applyBorder="1"/>
    <xf numFmtId="0" fontId="0" fillId="6" borderId="0" xfId="0" applyFill="1"/>
    <xf numFmtId="44" fontId="1" fillId="0" borderId="0" xfId="21" applyFont="1" applyAlignment="1">
      <alignment horizontal="left" vertical="center"/>
    </xf>
    <xf numFmtId="44" fontId="8" fillId="0" borderId="0" xfId="21" applyFont="1" applyFill="1" applyAlignment="1">
      <alignment horizontal="center" vertical="center"/>
    </xf>
    <xf numFmtId="0" fontId="2" fillId="0" borderId="0" xfId="25" applyFont="1" applyFill="1" applyAlignment="1">
      <alignment horizontal="left" vertical="center"/>
    </xf>
    <xf numFmtId="0" fontId="1" fillId="0" borderId="0" xfId="25" applyFont="1" applyAlignment="1">
      <alignment horizontal="left" vertical="center"/>
    </xf>
    <xf numFmtId="169" fontId="31" fillId="0" borderId="0" xfId="26" applyNumberFormat="1" applyFont="1" applyAlignment="1">
      <alignment horizontal="right" vertical="top"/>
    </xf>
    <xf numFmtId="167" fontId="37" fillId="0" borderId="0" xfId="26" applyNumberFormat="1" applyFont="1" applyFill="1" applyAlignment="1">
      <alignment horizontal="right" vertical="top"/>
    </xf>
    <xf numFmtId="44" fontId="38" fillId="0" borderId="2" xfId="21" applyFont="1" applyBorder="1"/>
    <xf numFmtId="49" fontId="31" fillId="0" borderId="0" xfId="26" applyNumberFormat="1" applyFont="1" applyAlignment="1">
      <alignment vertical="top"/>
    </xf>
    <xf numFmtId="43" fontId="0" fillId="0" borderId="0" xfId="1" applyFont="1" applyFill="1"/>
    <xf numFmtId="167" fontId="35" fillId="0" borderId="0" xfId="26" applyNumberFormat="1" applyFont="1" applyFill="1" applyAlignment="1">
      <alignment horizontal="right" vertical="top"/>
    </xf>
    <xf numFmtId="44" fontId="38" fillId="0" borderId="2" xfId="21" applyFont="1" applyFill="1" applyBorder="1"/>
    <xf numFmtId="44" fontId="27" fillId="0" borderId="0" xfId="21" applyFont="1"/>
    <xf numFmtId="0" fontId="39" fillId="0" borderId="0" xfId="26" applyFont="1" applyFill="1"/>
    <xf numFmtId="49" fontId="32" fillId="0" borderId="0" xfId="26" applyNumberFormat="1" applyFont="1" applyAlignment="1">
      <alignment vertical="top"/>
    </xf>
    <xf numFmtId="49" fontId="29" fillId="0" borderId="0" xfId="26" applyNumberFormat="1" applyFont="1" applyAlignment="1">
      <alignment horizontal="center" vertical="top"/>
    </xf>
    <xf numFmtId="49" fontId="30" fillId="0" borderId="0" xfId="26" applyNumberFormat="1" applyFont="1" applyAlignment="1">
      <alignment horizontal="center" vertical="top"/>
    </xf>
    <xf numFmtId="0" fontId="31" fillId="0" borderId="0" xfId="26" applyFont="1" applyAlignment="1">
      <alignment vertical="top"/>
    </xf>
    <xf numFmtId="167" fontId="32" fillId="0" borderId="8" xfId="26" applyNumberFormat="1" applyFont="1" applyBorder="1" applyAlignment="1">
      <alignment horizontal="center"/>
    </xf>
    <xf numFmtId="49" fontId="32" fillId="7" borderId="0" xfId="26" applyNumberFormat="1" applyFont="1" applyFill="1" applyAlignment="1">
      <alignment vertical="top"/>
    </xf>
    <xf numFmtId="49" fontId="31" fillId="0" borderId="0" xfId="26" applyNumberFormat="1" applyFont="1" applyAlignment="1">
      <alignment vertical="top"/>
    </xf>
    <xf numFmtId="168" fontId="31" fillId="0" borderId="0" xfId="26" applyNumberFormat="1" applyFont="1" applyAlignment="1">
      <alignment horizontal="left"/>
    </xf>
    <xf numFmtId="0" fontId="31" fillId="0" borderId="0" xfId="26" applyFont="1" applyAlignment="1">
      <alignment horizontal="center"/>
    </xf>
    <xf numFmtId="167" fontId="31" fillId="0" borderId="0" xfId="26" applyNumberFormat="1" applyFont="1" applyAlignment="1">
      <alignment horizontal="right"/>
    </xf>
    <xf numFmtId="0" fontId="25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27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23" xr:uid="{00000000-0005-0000-0000-000006000000}"/>
    <cellStyle name="Currency" xfId="21" builtinId="4"/>
    <cellStyle name="Currency 2" xfId="7" xr:uid="{00000000-0005-0000-0000-000008000000}"/>
    <cellStyle name="Currency 3" xfId="8" xr:uid="{00000000-0005-0000-0000-000009000000}"/>
    <cellStyle name="Hyperlink 2" xfId="9" xr:uid="{00000000-0005-0000-0000-00000B000000}"/>
    <cellStyle name="Hyperlink 3" xfId="24" xr:uid="{00000000-0005-0000-0000-00000C000000}"/>
    <cellStyle name="Monétaire 2" xfId="10" xr:uid="{00000000-0005-0000-0000-00000D000000}"/>
    <cellStyle name="Monétaire 3" xfId="11" xr:uid="{00000000-0005-0000-0000-00000E000000}"/>
    <cellStyle name="Normal" xfId="0" builtinId="0"/>
    <cellStyle name="Normal 10" xfId="26" xr:uid="{BE2A63EC-9035-4299-B6EF-FCE067697293}"/>
    <cellStyle name="Normal 2" xfId="12" xr:uid="{00000000-0005-0000-0000-000010000000}"/>
    <cellStyle name="Normal 2 2" xfId="13" xr:uid="{00000000-0005-0000-0000-000011000000}"/>
    <cellStyle name="Normal 2 3" xfId="14" xr:uid="{00000000-0005-0000-0000-000012000000}"/>
    <cellStyle name="Normal 3" xfId="15" xr:uid="{00000000-0005-0000-0000-000013000000}"/>
    <cellStyle name="Normal 4" xfId="16" xr:uid="{00000000-0005-0000-0000-000014000000}"/>
    <cellStyle name="Normal 5" xfId="17" xr:uid="{00000000-0005-0000-0000-000015000000}"/>
    <cellStyle name="Normal 6" xfId="18" xr:uid="{00000000-0005-0000-0000-000016000000}"/>
    <cellStyle name="Normal 7" xfId="19" xr:uid="{00000000-0005-0000-0000-000017000000}"/>
    <cellStyle name="Normal 8" xfId="22" xr:uid="{00000000-0005-0000-0000-000018000000}"/>
    <cellStyle name="Normal 9" xfId="25" xr:uid="{7C511A02-E047-48BB-8793-5F9D405222EF}"/>
    <cellStyle name="Percent 2" xfId="20" xr:uid="{00000000-0005-0000-0000-00001A000000}"/>
  </cellStyles>
  <dxfs count="0"/>
  <tableStyles count="0" defaultTableStyle="TableStyleMedium2" defaultPivotStyle="PivotStyleLight16"/>
  <colors>
    <mruColors>
      <color rgb="FFFF99FF"/>
      <color rgb="FFFF33CC"/>
      <color rgb="FFFF00FF"/>
      <color rgb="FFFFFF99"/>
      <color rgb="FF0040C0"/>
      <color rgb="FF216BFF"/>
      <color rgb="FFF6D8F2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st.nxt.blackbaud.com/ledger/account/44?envid=p-4DQACL1xFUysOoaM89qH-g&amp;svcid=fenxt&amp;newWindow" TargetMode="External"/><Relationship Id="rId21" Type="http://schemas.openxmlformats.org/officeDocument/2006/relationships/hyperlink" Target="https://host.nxt.blackbaud.com/ledger/account/41?envid=p-4DQACL1xFUysOoaM89qH-g&amp;svcid=fenxt&amp;newWindow" TargetMode="External"/><Relationship Id="rId34" Type="http://schemas.openxmlformats.org/officeDocument/2006/relationships/hyperlink" Target="https://host.nxt.blackbaud.com/ledger/account/171?envid=p-4DQACL1xFUysOoaM89qH-g&amp;svcid=fenxt&amp;newWindow" TargetMode="External"/><Relationship Id="rId42" Type="http://schemas.openxmlformats.org/officeDocument/2006/relationships/hyperlink" Target="https://host.nxt.blackbaud.com/ledger/account/142?envid=p-4DQACL1xFUysOoaM89qH-g&amp;svcid=fenxt&amp;newWindow" TargetMode="External"/><Relationship Id="rId47" Type="http://schemas.openxmlformats.org/officeDocument/2006/relationships/hyperlink" Target="https://host.nxt.blackbaud.com/ledger/account/52?envid=p-4DQACL1xFUysOoaM89qH-g&amp;svcid=fenxt&amp;newWindow" TargetMode="External"/><Relationship Id="rId50" Type="http://schemas.openxmlformats.org/officeDocument/2006/relationships/hyperlink" Target="https://host.nxt.blackbaud.com/ledger/account/111?envid=p-4DQACL1xFUysOoaM89qH-g&amp;svcid=fenxt&amp;newWindow" TargetMode="External"/><Relationship Id="rId55" Type="http://schemas.openxmlformats.org/officeDocument/2006/relationships/hyperlink" Target="https://host.nxt.blackbaud.com/ledger/account/57?envid=p-4DQACL1xFUysOoaM89qH-g&amp;svcid=fenxt&amp;newWindow" TargetMode="External"/><Relationship Id="rId63" Type="http://schemas.openxmlformats.org/officeDocument/2006/relationships/hyperlink" Target="https://host.nxt.blackbaud.com/ledger/account/160?envid=p-4DQACL1xFUysOoaM89qH-g&amp;svcid=fenxt&amp;newWindow" TargetMode="External"/><Relationship Id="rId7" Type="http://schemas.openxmlformats.org/officeDocument/2006/relationships/hyperlink" Target="https://host.nxt.blackbaud.com/ledger/account/178?envid=p-4DQACL1xFUysOoaM89qH-g&amp;svcid=fenxt&amp;newWindow" TargetMode="External"/><Relationship Id="rId2" Type="http://schemas.openxmlformats.org/officeDocument/2006/relationships/hyperlink" Target="https://host.nxt.blackbaud.com/ledger/account/101?envid=p-4DQACL1xFUysOoaM89qH-g&amp;svcid=fenxt&amp;newWindow" TargetMode="External"/><Relationship Id="rId16" Type="http://schemas.openxmlformats.org/officeDocument/2006/relationships/hyperlink" Target="https://host.nxt.blackbaud.com/ledger/account/156?envid=p-4DQACL1xFUysOoaM89qH-g&amp;svcid=fenxt&amp;newWindow" TargetMode="External"/><Relationship Id="rId29" Type="http://schemas.openxmlformats.org/officeDocument/2006/relationships/hyperlink" Target="https://host.nxt.blackbaud.com/ledger/account/45?envid=p-4DQACL1xFUysOoaM89qH-g&amp;svcid=fenxt&amp;newWindow" TargetMode="External"/><Relationship Id="rId11" Type="http://schemas.openxmlformats.org/officeDocument/2006/relationships/hyperlink" Target="https://host.nxt.blackbaud.com/ledger/account/129?envid=p-4DQACL1xFUysOoaM89qH-g&amp;svcid=fenxt&amp;newWindow" TargetMode="External"/><Relationship Id="rId24" Type="http://schemas.openxmlformats.org/officeDocument/2006/relationships/hyperlink" Target="https://host.nxt.blackbaud.com/ledger/account/192?envid=p-4DQACL1xFUysOoaM89qH-g&amp;svcid=fenxt&amp;newWindow" TargetMode="External"/><Relationship Id="rId32" Type="http://schemas.openxmlformats.org/officeDocument/2006/relationships/hyperlink" Target="https://host.nxt.blackbaud.com/ledger/account/47?envid=p-4DQACL1xFUysOoaM89qH-g&amp;svcid=fenxt&amp;newWindow" TargetMode="External"/><Relationship Id="rId37" Type="http://schemas.openxmlformats.org/officeDocument/2006/relationships/hyperlink" Target="https://host.nxt.blackbaud.com/ledger/account/173?envid=p-4DQACL1xFUysOoaM89qH-g&amp;svcid=fenxt&amp;newWindow" TargetMode="External"/><Relationship Id="rId40" Type="http://schemas.openxmlformats.org/officeDocument/2006/relationships/hyperlink" Target="https://host.nxt.blackbaud.com/ledger/account/140?envid=p-4DQACL1xFUysOoaM89qH-g&amp;svcid=fenxt&amp;newWindow" TargetMode="External"/><Relationship Id="rId45" Type="http://schemas.openxmlformats.org/officeDocument/2006/relationships/hyperlink" Target="https://host.nxt.blackbaud.com/ledger/account/49?envid=p-4DQACL1xFUysOoaM89qH-g&amp;svcid=fenxt&amp;newWindow" TargetMode="External"/><Relationship Id="rId53" Type="http://schemas.openxmlformats.org/officeDocument/2006/relationships/hyperlink" Target="https://host.nxt.blackbaud.com/ledger/account/107?envid=p-4DQACL1xFUysOoaM89qH-g&amp;svcid=fenxt&amp;newWindow" TargetMode="External"/><Relationship Id="rId58" Type="http://schemas.openxmlformats.org/officeDocument/2006/relationships/hyperlink" Target="https://host.nxt.blackbaud.com/ledger/account/109?envid=p-4DQACL1xFUysOoaM89qH-g&amp;svcid=fenxt&amp;newWindow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host.nxt.blackbaud.com/ledger/account/69?envid=p-4DQACL1xFUysOoaM89qH-g&amp;svcid=fenxt&amp;newWindow" TargetMode="External"/><Relationship Id="rId61" Type="http://schemas.openxmlformats.org/officeDocument/2006/relationships/hyperlink" Target="https://host.nxt.blackbaud.com/ledger/account/58?envid=p-4DQACL1xFUysOoaM89qH-g&amp;svcid=fenxt&amp;newWindow" TargetMode="External"/><Relationship Id="rId19" Type="http://schemas.openxmlformats.org/officeDocument/2006/relationships/hyperlink" Target="https://host.nxt.blackbaud.com/ledger/account/180?envid=p-4DQACL1xFUysOoaM89qH-g&amp;svcid=fenxt&amp;newWindow" TargetMode="External"/><Relationship Id="rId14" Type="http://schemas.openxmlformats.org/officeDocument/2006/relationships/hyperlink" Target="https://host.nxt.blackbaud.com/ledger/account/196?envid=p-4DQACL1xFUysOoaM89qH-g&amp;svcid=fenxt&amp;newWindow" TargetMode="External"/><Relationship Id="rId22" Type="http://schemas.openxmlformats.org/officeDocument/2006/relationships/hyperlink" Target="https://host.nxt.blackbaud.com/ledger/account/42?envid=p-4DQACL1xFUysOoaM89qH-g&amp;svcid=fenxt&amp;newWindow" TargetMode="External"/><Relationship Id="rId27" Type="http://schemas.openxmlformats.org/officeDocument/2006/relationships/hyperlink" Target="https://host.nxt.blackbaud.com/ledger/account/153?envid=p-4DQACL1xFUysOoaM89qH-g&amp;svcid=fenxt&amp;newWindow" TargetMode="External"/><Relationship Id="rId30" Type="http://schemas.openxmlformats.org/officeDocument/2006/relationships/hyperlink" Target="https://host.nxt.blackbaud.com/ledger/account/108?envid=p-4DQACL1xFUysOoaM89qH-g&amp;svcid=fenxt&amp;newWindow" TargetMode="External"/><Relationship Id="rId35" Type="http://schemas.openxmlformats.org/officeDocument/2006/relationships/hyperlink" Target="https://host.nxt.blackbaud.com/ledger/account/189?envid=p-4DQACL1xFUysOoaM89qH-g&amp;svcid=fenxt&amp;newWindow" TargetMode="External"/><Relationship Id="rId43" Type="http://schemas.openxmlformats.org/officeDocument/2006/relationships/hyperlink" Target="https://host.nxt.blackbaud.com/ledger/account/90?envid=p-4DQACL1xFUysOoaM89qH-g&amp;svcid=fenxt&amp;newWindow" TargetMode="External"/><Relationship Id="rId48" Type="http://schemas.openxmlformats.org/officeDocument/2006/relationships/hyperlink" Target="https://host.nxt.blackbaud.com/ledger/account/53?envid=p-4DQACL1xFUysOoaM89qH-g&amp;svcid=fenxt&amp;newWindow" TargetMode="External"/><Relationship Id="rId56" Type="http://schemas.openxmlformats.org/officeDocument/2006/relationships/hyperlink" Target="https://host.nxt.blackbaud.com/ledger/account/197?envid=p-4DQACL1xFUysOoaM89qH-g&amp;svcid=fenxt&amp;newWindow" TargetMode="External"/><Relationship Id="rId64" Type="http://schemas.openxmlformats.org/officeDocument/2006/relationships/hyperlink" Target="https://host.nxt.blackbaud.com/ledger/account/59?envid=p-4DQACL1xFUysOoaM89qH-g&amp;svcid=fenxt&amp;newWindow" TargetMode="External"/><Relationship Id="rId8" Type="http://schemas.openxmlformats.org/officeDocument/2006/relationships/hyperlink" Target="https://host.nxt.blackbaud.com/ledger/account/130?envid=p-4DQACL1xFUysOoaM89qH-g&amp;svcid=fenxt&amp;newWindow" TargetMode="External"/><Relationship Id="rId51" Type="http://schemas.openxmlformats.org/officeDocument/2006/relationships/hyperlink" Target="https://host.nxt.blackbaud.com/ledger/account/110?envid=p-4DQACL1xFUysOoaM89qH-g&amp;svcid=fenxt&amp;newWindow" TargetMode="External"/><Relationship Id="rId3" Type="http://schemas.openxmlformats.org/officeDocument/2006/relationships/hyperlink" Target="https://host.nxt.blackbaud.com/ledger/account/195?envid=p-4DQACL1xFUysOoaM89qH-g&amp;svcid=fenxt&amp;newWindow" TargetMode="External"/><Relationship Id="rId12" Type="http://schemas.openxmlformats.org/officeDocument/2006/relationships/hyperlink" Target="https://host.nxt.blackbaud.com/ledger/account/150?envid=p-4DQACL1xFUysOoaM89qH-g&amp;svcid=fenxt&amp;newWindow" TargetMode="External"/><Relationship Id="rId17" Type="http://schemas.openxmlformats.org/officeDocument/2006/relationships/hyperlink" Target="https://host.nxt.blackbaud.com/ledger/account/38?envid=p-4DQACL1xFUysOoaM89qH-g&amp;svcid=fenxt&amp;newWindow" TargetMode="External"/><Relationship Id="rId25" Type="http://schemas.openxmlformats.org/officeDocument/2006/relationships/hyperlink" Target="https://host.nxt.blackbaud.com/ledger/account/136?envid=p-4DQACL1xFUysOoaM89qH-g&amp;svcid=fenxt&amp;newWindow" TargetMode="External"/><Relationship Id="rId33" Type="http://schemas.openxmlformats.org/officeDocument/2006/relationships/hyperlink" Target="https://host.nxt.blackbaud.com/ledger/account/172?envid=p-4DQACL1xFUysOoaM89qH-g&amp;svcid=fenxt&amp;newWindow" TargetMode="External"/><Relationship Id="rId38" Type="http://schemas.openxmlformats.org/officeDocument/2006/relationships/hyperlink" Target="https://host.nxt.blackbaud.com/ledger/account/48?envid=p-4DQACL1xFUysOoaM89qH-g&amp;svcid=fenxt&amp;newWindow" TargetMode="External"/><Relationship Id="rId46" Type="http://schemas.openxmlformats.org/officeDocument/2006/relationships/hyperlink" Target="https://host.nxt.blackbaud.com/ledger/account/50?envid=p-4DQACL1xFUysOoaM89qH-g&amp;svcid=fenxt&amp;newWindow" TargetMode="External"/><Relationship Id="rId59" Type="http://schemas.openxmlformats.org/officeDocument/2006/relationships/hyperlink" Target="https://host.nxt.blackbaud.com/ledger/account/105?envid=p-4DQACL1xFUysOoaM89qH-g&amp;svcid=fenxt&amp;newWindow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host.nxt.blackbaud.com/ledger/account/40?envid=p-4DQACL1xFUysOoaM89qH-g&amp;svcid=fenxt&amp;newWindow" TargetMode="External"/><Relationship Id="rId41" Type="http://schemas.openxmlformats.org/officeDocument/2006/relationships/hyperlink" Target="https://host.nxt.blackbaud.com/ledger/account/141?envid=p-4DQACL1xFUysOoaM89qH-g&amp;svcid=fenxt&amp;newWindow" TargetMode="External"/><Relationship Id="rId54" Type="http://schemas.openxmlformats.org/officeDocument/2006/relationships/hyperlink" Target="https://host.nxt.blackbaud.com/ledger/account/56?envid=p-4DQACL1xFUysOoaM89qH-g&amp;svcid=fenxt&amp;newWindow" TargetMode="External"/><Relationship Id="rId62" Type="http://schemas.openxmlformats.org/officeDocument/2006/relationships/hyperlink" Target="https://host.nxt.blackbaud.com/ledger/account/159?envid=p-4DQACL1xFUysOoaM89qH-g&amp;svcid=fenxt&amp;newWindow" TargetMode="External"/><Relationship Id="rId1" Type="http://schemas.openxmlformats.org/officeDocument/2006/relationships/hyperlink" Target="https://host.nxt.blackbaud.com/ledger/account/29?envid=p-4DQACL1xFUysOoaM89qH-g&amp;svcid=fenxt&amp;newWindow" TargetMode="External"/><Relationship Id="rId6" Type="http://schemas.openxmlformats.org/officeDocument/2006/relationships/hyperlink" Target="https://host.nxt.blackbaud.com/ledger/account/95?envid=p-4DQACL1xFUysOoaM89qH-g&amp;svcid=fenxt&amp;newWindow" TargetMode="External"/><Relationship Id="rId15" Type="http://schemas.openxmlformats.org/officeDocument/2006/relationships/hyperlink" Target="https://host.nxt.blackbaud.com/ledger/account/32?envid=p-4DQACL1xFUysOoaM89qH-g&amp;svcid=fenxt&amp;newWindow" TargetMode="External"/><Relationship Id="rId23" Type="http://schemas.openxmlformats.org/officeDocument/2006/relationships/hyperlink" Target="https://host.nxt.blackbaud.com/ledger/account/120?envid=p-4DQACL1xFUysOoaM89qH-g&amp;svcid=fenxt&amp;newWindow" TargetMode="External"/><Relationship Id="rId28" Type="http://schemas.openxmlformats.org/officeDocument/2006/relationships/hyperlink" Target="https://host.nxt.blackbaud.com/ledger/account/98?envid=p-4DQACL1xFUysOoaM89qH-g&amp;svcid=fenxt&amp;newWindow" TargetMode="External"/><Relationship Id="rId36" Type="http://schemas.openxmlformats.org/officeDocument/2006/relationships/hyperlink" Target="https://host.nxt.blackbaud.com/ledger/account/193?envid=p-4DQACL1xFUysOoaM89qH-g&amp;svcid=fenxt&amp;newWindow" TargetMode="External"/><Relationship Id="rId49" Type="http://schemas.openxmlformats.org/officeDocument/2006/relationships/hyperlink" Target="https://host.nxt.blackbaud.com/ledger/account/54?envid=p-4DQACL1xFUysOoaM89qH-g&amp;svcid=fenxt&amp;newWindow" TargetMode="External"/><Relationship Id="rId57" Type="http://schemas.openxmlformats.org/officeDocument/2006/relationships/hyperlink" Target="https://host.nxt.blackbaud.com/ledger/account/91?envid=p-4DQACL1xFUysOoaM89qH-g&amp;svcid=fenxt&amp;newWindow" TargetMode="External"/><Relationship Id="rId10" Type="http://schemas.openxmlformats.org/officeDocument/2006/relationships/hyperlink" Target="https://host.nxt.blackbaud.com/ledger/account/31?envid=p-4DQACL1xFUysOoaM89qH-g&amp;svcid=fenxt&amp;newWindow" TargetMode="External"/><Relationship Id="rId31" Type="http://schemas.openxmlformats.org/officeDocument/2006/relationships/hyperlink" Target="https://host.nxt.blackbaud.com/ledger/account/154?envid=p-4DQACL1xFUysOoaM89qH-g&amp;svcid=fenxt&amp;newWindow" TargetMode="External"/><Relationship Id="rId44" Type="http://schemas.openxmlformats.org/officeDocument/2006/relationships/hyperlink" Target="https://host.nxt.blackbaud.com/ledger/account/112?envid=p-4DQACL1xFUysOoaM89qH-g&amp;svcid=fenxt&amp;newWindow" TargetMode="External"/><Relationship Id="rId52" Type="http://schemas.openxmlformats.org/officeDocument/2006/relationships/hyperlink" Target="https://host.nxt.blackbaud.com/ledger/account/55?envid=p-4DQACL1xFUysOoaM89qH-g&amp;svcid=fenxt&amp;newWindow" TargetMode="External"/><Relationship Id="rId60" Type="http://schemas.openxmlformats.org/officeDocument/2006/relationships/hyperlink" Target="https://host.nxt.blackbaud.com/ledger/account/106?envid=p-4DQACL1xFUysOoaM89qH-g&amp;svcid=fenxt&amp;newWindow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host.nxt.blackbaud.com/ledger/account/93?envid=p-4DQACL1xFUysOoaM89qH-g&amp;svcid=fenxt&amp;newWindow" TargetMode="External"/><Relationship Id="rId9" Type="http://schemas.openxmlformats.org/officeDocument/2006/relationships/hyperlink" Target="https://host.nxt.blackbaud.com/ledger/account/30?envid=p-4DQACL1xFUysOoaM89qH-g&amp;svcid=fenxt&amp;newWindow" TargetMode="External"/><Relationship Id="rId13" Type="http://schemas.openxmlformats.org/officeDocument/2006/relationships/hyperlink" Target="https://host.nxt.blackbaud.com/ledger/account/36?envid=p-4DQACL1xFUysOoaM89qH-g&amp;svcid=fenxt&amp;newWindow" TargetMode="External"/><Relationship Id="rId18" Type="http://schemas.openxmlformats.org/officeDocument/2006/relationships/hyperlink" Target="https://host.nxt.blackbaud.com/ledger/account/39?envid=p-4DQACL1xFUysOoaM89qH-g&amp;svcid=fenxt&amp;newWindow" TargetMode="External"/><Relationship Id="rId39" Type="http://schemas.openxmlformats.org/officeDocument/2006/relationships/hyperlink" Target="https://host.nxt.blackbaud.com/ledger/account/116?envid=p-4DQACL1xFUysOoaM89qH-g&amp;svcid=fenxt&amp;newWindow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89B1-43F5-478E-AFDC-A7C9BF8D4C0C}">
  <sheetPr>
    <tabColor theme="8" tint="0.79998168889431442"/>
  </sheetPr>
  <dimension ref="A1:N173"/>
  <sheetViews>
    <sheetView tabSelected="1" zoomScale="102" zoomScaleNormal="244" workbookViewId="0">
      <selection activeCell="L109" sqref="L109"/>
    </sheetView>
  </sheetViews>
  <sheetFormatPr defaultColWidth="9.140625" defaultRowHeight="12.75"/>
  <cols>
    <col min="1" max="1" width="19.7109375" style="54" customWidth="1"/>
    <col min="2" max="2" width="37.85546875" style="54" customWidth="1"/>
    <col min="3" max="6" width="14.5703125" style="59" hidden="1" customWidth="1"/>
    <col min="7" max="7" width="13" style="59" hidden="1" customWidth="1"/>
    <col min="8" max="9" width="14.5703125" style="59" hidden="1" customWidth="1"/>
    <col min="10" max="10" width="14.5703125" style="59" customWidth="1"/>
    <col min="11" max="11" width="15.5703125" style="59" customWidth="1"/>
    <col min="12" max="12" width="14.5703125" style="59" customWidth="1"/>
    <col min="13" max="13" width="13.28515625" style="59" customWidth="1"/>
    <col min="14" max="14" width="26.42578125" style="76" customWidth="1"/>
    <col min="15" max="16384" width="9.140625" style="54"/>
  </cols>
  <sheetData>
    <row r="1" spans="1:14" ht="19.899999999999999" customHeight="1">
      <c r="A1" s="125" t="s">
        <v>102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 ht="19.899999999999999" customHeight="1">
      <c r="A2" s="125" t="s">
        <v>360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77"/>
    </row>
    <row r="3" spans="1:14" ht="16.899999999999999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4" ht="9.1999999999999993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4" ht="12" customHeight="1">
      <c r="C5" s="128" t="s">
        <v>103</v>
      </c>
      <c r="D5" s="128"/>
      <c r="E5" s="128"/>
      <c r="F5" s="128"/>
      <c r="G5" s="128"/>
      <c r="H5" s="128"/>
      <c r="I5" s="106"/>
      <c r="J5" s="55"/>
      <c r="K5" s="78"/>
      <c r="L5" s="106" t="s">
        <v>335</v>
      </c>
      <c r="M5" s="56" t="s">
        <v>336</v>
      </c>
    </row>
    <row r="6" spans="1:14" ht="54" customHeight="1">
      <c r="A6" s="57"/>
      <c r="B6" s="57"/>
      <c r="C6" s="79" t="s">
        <v>18</v>
      </c>
      <c r="D6" s="79" t="s">
        <v>19</v>
      </c>
      <c r="E6" s="79" t="s">
        <v>23</v>
      </c>
      <c r="F6" s="79" t="s">
        <v>26</v>
      </c>
      <c r="G6" s="79" t="s">
        <v>29</v>
      </c>
      <c r="H6" s="79" t="s">
        <v>38</v>
      </c>
      <c r="I6" s="79" t="s">
        <v>332</v>
      </c>
      <c r="J6" s="80" t="s">
        <v>333</v>
      </c>
      <c r="K6" s="108" t="s">
        <v>372</v>
      </c>
      <c r="L6" s="107" t="s">
        <v>334</v>
      </c>
      <c r="M6" s="58" t="s">
        <v>101</v>
      </c>
    </row>
    <row r="7" spans="1:14" ht="13.15" customHeight="1">
      <c r="A7" s="124" t="s">
        <v>104</v>
      </c>
      <c r="B7" s="124"/>
      <c r="E7" s="60" t="s">
        <v>105</v>
      </c>
      <c r="F7" s="60" t="s">
        <v>106</v>
      </c>
    </row>
    <row r="8" spans="1:14" ht="13.15" customHeight="1">
      <c r="A8" s="130" t="s">
        <v>107</v>
      </c>
      <c r="B8" s="130"/>
      <c r="I8" s="62"/>
    </row>
    <row r="9" spans="1:14" ht="13.15" customHeight="1">
      <c r="A9" s="61" t="s">
        <v>108</v>
      </c>
      <c r="B9" s="61" t="s">
        <v>109</v>
      </c>
      <c r="C9" s="62">
        <f>582457.69-37452</f>
        <v>545005.68999999994</v>
      </c>
      <c r="D9" s="62">
        <f>474858.07-53843</f>
        <v>421015.07</v>
      </c>
      <c r="E9" s="62">
        <f>1031503.57-120178</f>
        <v>911325.57</v>
      </c>
      <c r="F9" s="62">
        <f>682826.7-39766</f>
        <v>643060.69999999995</v>
      </c>
      <c r="G9" s="62">
        <f>495149.7-88473</f>
        <v>406676.7</v>
      </c>
      <c r="H9" s="62">
        <f>496481.84-58119.05</f>
        <v>438362.79000000004</v>
      </c>
      <c r="I9" s="62">
        <f>976016.86-53392</f>
        <v>922624.86</v>
      </c>
      <c r="J9" s="62">
        <f>684289.39-10467</f>
        <v>673822.39</v>
      </c>
      <c r="K9" s="62">
        <f>733841.97-10467</f>
        <v>723374.97</v>
      </c>
      <c r="L9" s="115">
        <v>700000</v>
      </c>
      <c r="M9" s="62">
        <f>700000-M10</f>
        <v>649000</v>
      </c>
      <c r="N9" s="77"/>
    </row>
    <row r="10" spans="1:14" ht="13.15" customHeight="1">
      <c r="A10" s="61"/>
      <c r="B10" s="63" t="s">
        <v>110</v>
      </c>
      <c r="C10" s="62">
        <v>37452</v>
      </c>
      <c r="D10" s="62">
        <v>53843</v>
      </c>
      <c r="E10" s="62">
        <v>120178</v>
      </c>
      <c r="F10" s="62">
        <v>39766</v>
      </c>
      <c r="G10" s="62">
        <v>88473</v>
      </c>
      <c r="H10" s="64">
        <v>58119.05</v>
      </c>
      <c r="I10" s="64">
        <v>53392</v>
      </c>
      <c r="J10" s="62">
        <v>10467</v>
      </c>
      <c r="K10" s="64">
        <v>10467</v>
      </c>
      <c r="L10" s="64">
        <v>25000</v>
      </c>
      <c r="M10" s="64">
        <v>51000</v>
      </c>
    </row>
    <row r="11" spans="1:14" ht="13.15" customHeight="1">
      <c r="A11" s="61" t="s">
        <v>111</v>
      </c>
      <c r="B11" s="61" t="s">
        <v>112</v>
      </c>
      <c r="C11" s="62">
        <v>27521.35</v>
      </c>
      <c r="D11" s="62">
        <v>22304</v>
      </c>
      <c r="E11" s="62">
        <v>23796.39</v>
      </c>
      <c r="F11" s="62">
        <v>29720.14</v>
      </c>
      <c r="G11" s="62">
        <v>27950</v>
      </c>
      <c r="H11" s="62">
        <v>28374.34</v>
      </c>
      <c r="I11" s="62">
        <v>46028.7</v>
      </c>
      <c r="J11" s="62">
        <v>20386.849999999999</v>
      </c>
      <c r="K11" s="62">
        <v>24169.75</v>
      </c>
      <c r="L11" s="62">
        <v>30000</v>
      </c>
      <c r="M11" s="62">
        <v>30000</v>
      </c>
    </row>
    <row r="12" spans="1:14" ht="13.15" customHeight="1">
      <c r="A12" s="61" t="s">
        <v>113</v>
      </c>
      <c r="B12" s="61" t="s">
        <v>28</v>
      </c>
      <c r="C12" s="62">
        <v>0</v>
      </c>
      <c r="D12" s="62">
        <v>0</v>
      </c>
      <c r="E12" s="62">
        <v>0</v>
      </c>
      <c r="F12" s="62">
        <v>106559</v>
      </c>
      <c r="G12" s="62">
        <v>43755</v>
      </c>
      <c r="H12" s="62">
        <v>55997.5</v>
      </c>
      <c r="I12" s="62">
        <v>75953.22</v>
      </c>
      <c r="J12" s="62">
        <v>66187.399999999994</v>
      </c>
      <c r="K12" s="62">
        <v>85929.4</v>
      </c>
      <c r="L12" s="62">
        <v>85000</v>
      </c>
      <c r="M12" s="62">
        <v>65000</v>
      </c>
    </row>
    <row r="13" spans="1:14" ht="13.15" customHeight="1">
      <c r="A13" s="61" t="s">
        <v>114</v>
      </c>
      <c r="B13" s="61" t="s">
        <v>81</v>
      </c>
      <c r="C13" s="62">
        <v>383425.01</v>
      </c>
      <c r="D13" s="62">
        <v>79000</v>
      </c>
      <c r="E13" s="62">
        <v>274000</v>
      </c>
      <c r="F13" s="62">
        <v>2274000</v>
      </c>
      <c r="G13" s="62">
        <v>162000</v>
      </c>
      <c r="H13" s="62">
        <v>11100</v>
      </c>
      <c r="I13" s="62">
        <v>10000</v>
      </c>
      <c r="J13" s="62">
        <v>30000</v>
      </c>
      <c r="K13" s="62">
        <v>30000</v>
      </c>
      <c r="L13" s="62">
        <v>0</v>
      </c>
      <c r="M13" s="102">
        <v>510000</v>
      </c>
    </row>
    <row r="14" spans="1:14" ht="13.15" customHeight="1">
      <c r="A14" s="61" t="s">
        <v>115</v>
      </c>
      <c r="B14" s="61" t="s">
        <v>116</v>
      </c>
      <c r="C14" s="62">
        <v>74220</v>
      </c>
      <c r="D14" s="62">
        <v>118512.42</v>
      </c>
      <c r="E14" s="62">
        <v>39427</v>
      </c>
      <c r="F14" s="62">
        <v>47358</v>
      </c>
      <c r="G14" s="62">
        <v>182287.5</v>
      </c>
      <c r="H14" s="62">
        <v>382093.15</v>
      </c>
      <c r="I14" s="62">
        <v>776058.59</v>
      </c>
      <c r="J14" s="62">
        <v>571891.75</v>
      </c>
      <c r="K14" s="62">
        <f>709904.3+100000+250000</f>
        <v>1059904.3</v>
      </c>
      <c r="L14" s="62">
        <v>1300000</v>
      </c>
      <c r="M14" s="62">
        <v>600000</v>
      </c>
      <c r="N14" s="123"/>
    </row>
    <row r="15" spans="1:14" ht="13.15" customHeight="1">
      <c r="A15" s="61" t="s">
        <v>117</v>
      </c>
      <c r="B15" s="61" t="s">
        <v>118</v>
      </c>
      <c r="C15" s="62">
        <v>4421.45</v>
      </c>
      <c r="D15" s="62">
        <v>5248.49</v>
      </c>
      <c r="E15" s="62">
        <v>17755.5</v>
      </c>
      <c r="F15" s="62">
        <v>3859.6</v>
      </c>
      <c r="G15" s="62">
        <v>51282.239999999998</v>
      </c>
      <c r="H15" s="62">
        <v>180650.62</v>
      </c>
      <c r="I15" s="62">
        <v>45123.1</v>
      </c>
      <c r="J15" s="62">
        <v>41006.629999999997</v>
      </c>
      <c r="K15" s="62">
        <v>41006.629999999997</v>
      </c>
      <c r="L15" s="62">
        <v>50000</v>
      </c>
      <c r="M15" s="62">
        <v>50000</v>
      </c>
    </row>
    <row r="16" spans="1:14" ht="13.15" customHeight="1">
      <c r="A16" s="61" t="s">
        <v>119</v>
      </c>
      <c r="B16" s="61" t="s">
        <v>120</v>
      </c>
      <c r="C16" s="62">
        <v>55469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/>
      <c r="J16" s="62"/>
      <c r="K16" s="62"/>
      <c r="L16" s="62"/>
      <c r="M16" s="62"/>
    </row>
    <row r="17" spans="1:13" ht="13.15" customHeight="1">
      <c r="A17" s="61" t="s">
        <v>121</v>
      </c>
      <c r="B17" s="61" t="s">
        <v>122</v>
      </c>
      <c r="C17" s="62">
        <v>11305</v>
      </c>
      <c r="D17" s="62">
        <v>11305</v>
      </c>
      <c r="E17" s="62">
        <v>10790.05</v>
      </c>
      <c r="F17" s="62">
        <v>9687.5</v>
      </c>
      <c r="G17" s="62">
        <v>14487.5</v>
      </c>
      <c r="H17" s="62">
        <v>9687.5</v>
      </c>
      <c r="I17" s="62">
        <v>9687.5</v>
      </c>
      <c r="J17" s="62">
        <v>9687.5</v>
      </c>
      <c r="K17" s="62">
        <v>9687.5</v>
      </c>
      <c r="L17" s="62">
        <v>9688</v>
      </c>
      <c r="M17" s="62">
        <v>9688</v>
      </c>
    </row>
    <row r="18" spans="1:13" ht="12" customHeight="1">
      <c r="C18" s="65">
        <v>1138819.5</v>
      </c>
      <c r="D18" s="65">
        <v>711227.98</v>
      </c>
      <c r="E18" s="65">
        <v>1397272.51</v>
      </c>
      <c r="F18" s="65">
        <v>3154010.94</v>
      </c>
      <c r="G18" s="65">
        <v>976911.94</v>
      </c>
      <c r="H18" s="65">
        <v>1164384.95</v>
      </c>
      <c r="I18" s="65">
        <f>SUM(I9:I17)</f>
        <v>1938867.9700000002</v>
      </c>
      <c r="J18" s="65">
        <f>SUM(J9:J17)</f>
        <v>1423449.52</v>
      </c>
      <c r="K18" s="65">
        <f>SUM(K9:K17)</f>
        <v>1984539.5499999998</v>
      </c>
      <c r="L18" s="65">
        <f>SUM(L9:L17)</f>
        <v>2199688</v>
      </c>
      <c r="M18" s="65">
        <f>SUM(M9:M17)</f>
        <v>1964688</v>
      </c>
    </row>
    <row r="19" spans="1:13" ht="13.15" customHeight="1">
      <c r="A19" s="130" t="s">
        <v>123</v>
      </c>
      <c r="B19" s="130"/>
    </row>
    <row r="20" spans="1:13" ht="13.15" customHeight="1">
      <c r="A20" s="61" t="s">
        <v>124</v>
      </c>
      <c r="B20" s="61" t="s">
        <v>125</v>
      </c>
      <c r="C20" s="62">
        <v>143857.06</v>
      </c>
      <c r="D20" s="62">
        <v>86170</v>
      </c>
      <c r="E20" s="62">
        <v>25775</v>
      </c>
      <c r="F20" s="62">
        <v>116457.55</v>
      </c>
      <c r="G20" s="62">
        <v>129499</v>
      </c>
      <c r="H20" s="62">
        <v>423836.15</v>
      </c>
      <c r="I20" s="62">
        <v>216055.02</v>
      </c>
      <c r="J20" s="62">
        <v>118924</v>
      </c>
      <c r="K20" s="62">
        <v>301716.84999999998</v>
      </c>
      <c r="L20" s="62">
        <v>400000</v>
      </c>
      <c r="M20" s="62">
        <v>250000</v>
      </c>
    </row>
    <row r="21" spans="1:13" ht="12" customHeight="1">
      <c r="C21" s="65">
        <v>143857.06</v>
      </c>
      <c r="D21" s="65">
        <v>86170</v>
      </c>
      <c r="E21" s="65">
        <v>25775</v>
      </c>
      <c r="F21" s="65">
        <v>116457.55</v>
      </c>
      <c r="G21" s="65">
        <v>129499</v>
      </c>
      <c r="H21" s="65">
        <v>423836.15</v>
      </c>
      <c r="I21" s="65">
        <v>216055.02</v>
      </c>
      <c r="J21" s="65">
        <f>SUM(J20)</f>
        <v>118924</v>
      </c>
      <c r="K21" s="65">
        <f>SUM(K20)</f>
        <v>301716.84999999998</v>
      </c>
      <c r="L21" s="71">
        <f>SUM(L20)</f>
        <v>400000</v>
      </c>
      <c r="M21" s="65">
        <f>SUM(M20)</f>
        <v>250000</v>
      </c>
    </row>
    <row r="22" spans="1:13" ht="13.15" customHeight="1">
      <c r="A22" s="130" t="s">
        <v>126</v>
      </c>
      <c r="B22" s="130"/>
    </row>
    <row r="23" spans="1:13" ht="13.15" customHeight="1">
      <c r="A23" s="61" t="s">
        <v>127</v>
      </c>
      <c r="B23" s="61" t="s">
        <v>128</v>
      </c>
      <c r="C23" s="62">
        <v>11163.93</v>
      </c>
      <c r="D23" s="62">
        <v>48026.57</v>
      </c>
      <c r="E23" s="62">
        <v>12877.99</v>
      </c>
      <c r="F23" s="62">
        <v>41612.839999999997</v>
      </c>
      <c r="G23" s="62">
        <v>6067.06</v>
      </c>
      <c r="H23" s="62">
        <v>1885.83</v>
      </c>
      <c r="I23" s="62">
        <v>125676.48</v>
      </c>
      <c r="J23" s="62">
        <v>106835.4</v>
      </c>
      <c r="K23" s="62">
        <v>2157181.4300000002</v>
      </c>
      <c r="L23" s="62">
        <v>150000</v>
      </c>
      <c r="M23" s="62">
        <v>50000</v>
      </c>
    </row>
    <row r="24" spans="1:13" ht="13.15" customHeight="1">
      <c r="A24" s="61" t="s">
        <v>129</v>
      </c>
      <c r="B24" s="61" t="s">
        <v>130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98500.13</v>
      </c>
      <c r="I24" s="62"/>
      <c r="J24" s="62"/>
      <c r="K24" s="62"/>
      <c r="L24" s="62"/>
      <c r="M24" s="62"/>
    </row>
    <row r="25" spans="1:13" ht="12" customHeight="1">
      <c r="C25" s="65">
        <v>11163.93</v>
      </c>
      <c r="D25" s="65">
        <v>48026.57</v>
      </c>
      <c r="E25" s="65">
        <v>12877.99</v>
      </c>
      <c r="F25" s="65">
        <v>41612.839999999997</v>
      </c>
      <c r="G25" s="65">
        <v>6067.06</v>
      </c>
      <c r="H25" s="65">
        <v>100385.96</v>
      </c>
      <c r="I25" s="65">
        <v>125676.48</v>
      </c>
      <c r="J25" s="65">
        <f>SUM(J23:J24)</f>
        <v>106835.4</v>
      </c>
      <c r="K25" s="65">
        <f>SUM(K23:K24)</f>
        <v>2157181.4300000002</v>
      </c>
      <c r="L25" s="65">
        <f>SUM(L23:L24)</f>
        <v>150000</v>
      </c>
      <c r="M25" s="65">
        <f>SUM(M23:M24)</f>
        <v>50000</v>
      </c>
    </row>
    <row r="26" spans="1:13" ht="13.15" customHeight="1">
      <c r="A26" s="130" t="s">
        <v>131</v>
      </c>
      <c r="B26" s="130"/>
    </row>
    <row r="27" spans="1:13" ht="13.15" customHeight="1">
      <c r="A27" s="66" t="s">
        <v>132</v>
      </c>
      <c r="B27" s="61" t="s">
        <v>133</v>
      </c>
      <c r="C27" s="62">
        <v>24662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ht="13.15" customHeight="1">
      <c r="A28" s="66" t="s">
        <v>134</v>
      </c>
      <c r="B28" s="61" t="s">
        <v>135</v>
      </c>
      <c r="C28" s="62"/>
      <c r="D28" s="62">
        <v>41010</v>
      </c>
      <c r="E28" s="62">
        <v>32780</v>
      </c>
      <c r="F28" s="62">
        <v>30934</v>
      </c>
      <c r="G28" s="62"/>
      <c r="H28" s="62"/>
      <c r="I28" s="62"/>
      <c r="J28" s="62"/>
      <c r="K28" s="62"/>
      <c r="L28" s="62"/>
      <c r="M28" s="62"/>
    </row>
    <row r="29" spans="1:13" ht="13.15" customHeight="1">
      <c r="A29" s="66" t="s">
        <v>136</v>
      </c>
      <c r="B29" s="61" t="s">
        <v>137</v>
      </c>
      <c r="C29" s="62">
        <v>388485</v>
      </c>
      <c r="D29" s="62">
        <v>476079</v>
      </c>
      <c r="E29" s="62">
        <v>125471</v>
      </c>
      <c r="F29" s="62">
        <v>10585</v>
      </c>
      <c r="G29" s="62">
        <v>500870</v>
      </c>
      <c r="H29" s="62">
        <v>630153</v>
      </c>
      <c r="I29" s="62">
        <v>1055029.18</v>
      </c>
      <c r="J29" s="62">
        <v>1020390.19</v>
      </c>
      <c r="K29" s="62">
        <v>1080390.19</v>
      </c>
      <c r="L29" s="62">
        <v>1150000</v>
      </c>
      <c r="M29" s="62">
        <v>1100000</v>
      </c>
    </row>
    <row r="30" spans="1:13" ht="13.15" customHeight="1">
      <c r="A30" s="66" t="s">
        <v>138</v>
      </c>
      <c r="B30" s="61" t="s">
        <v>139</v>
      </c>
      <c r="C30" s="62">
        <v>209215</v>
      </c>
      <c r="D30" s="62">
        <v>152932</v>
      </c>
      <c r="E30" s="62">
        <v>24960</v>
      </c>
      <c r="F30" s="62">
        <v>202435</v>
      </c>
      <c r="G30" s="62">
        <v>245695</v>
      </c>
      <c r="H30" s="62">
        <v>340444</v>
      </c>
      <c r="I30" s="62">
        <v>460125</v>
      </c>
      <c r="J30" s="62">
        <v>529495</v>
      </c>
      <c r="K30" s="62">
        <f>601095-34500</f>
        <v>566595</v>
      </c>
      <c r="L30" s="64">
        <v>650000</v>
      </c>
      <c r="M30" s="62">
        <v>500000</v>
      </c>
    </row>
    <row r="31" spans="1:13" ht="13.15" customHeight="1">
      <c r="A31" s="66" t="s">
        <v>140</v>
      </c>
      <c r="B31" s="61" t="s">
        <v>141</v>
      </c>
      <c r="C31" s="62" t="s">
        <v>142</v>
      </c>
      <c r="D31" s="62"/>
      <c r="E31" s="62"/>
      <c r="F31" s="62"/>
      <c r="G31" s="62"/>
      <c r="H31" s="62">
        <v>25166</v>
      </c>
      <c r="I31" s="62">
        <v>26126.080000000002</v>
      </c>
      <c r="J31" s="62">
        <v>34726.69</v>
      </c>
      <c r="K31" s="62">
        <v>34726.69</v>
      </c>
      <c r="L31" s="62">
        <v>35000</v>
      </c>
      <c r="M31" s="62">
        <v>30000</v>
      </c>
    </row>
    <row r="32" spans="1:13" ht="13.15" customHeight="1">
      <c r="A32" s="66" t="s">
        <v>143</v>
      </c>
      <c r="B32" s="61" t="s">
        <v>144</v>
      </c>
      <c r="C32" s="62">
        <v>13855</v>
      </c>
      <c r="D32" s="62">
        <v>5711</v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ht="13.15" customHeight="1">
      <c r="A33" s="66" t="s">
        <v>145</v>
      </c>
      <c r="B33" s="61" t="s">
        <v>146</v>
      </c>
      <c r="C33" s="62"/>
      <c r="D33" s="62">
        <v>61100</v>
      </c>
      <c r="E33" s="62">
        <v>25770</v>
      </c>
      <c r="F33" s="62"/>
      <c r="G33" s="62"/>
      <c r="H33" s="62"/>
      <c r="I33" s="62"/>
      <c r="J33" s="62"/>
      <c r="K33" s="62"/>
      <c r="L33" s="62"/>
      <c r="M33" s="62"/>
    </row>
    <row r="34" spans="1:13" ht="13.15" customHeight="1">
      <c r="A34" s="66" t="s">
        <v>147</v>
      </c>
      <c r="B34" s="61" t="s">
        <v>148</v>
      </c>
      <c r="C34" s="62" t="s">
        <v>149</v>
      </c>
      <c r="D34" s="62">
        <v>57005</v>
      </c>
      <c r="E34" s="62"/>
      <c r="F34" s="62"/>
      <c r="G34" s="62"/>
      <c r="H34" s="62">
        <v>115305</v>
      </c>
      <c r="I34" s="62">
        <v>181330</v>
      </c>
      <c r="J34" s="62">
        <v>70650</v>
      </c>
      <c r="K34" s="102">
        <f>70650+20247.36</f>
        <v>90897.36</v>
      </c>
      <c r="L34" s="62">
        <v>110000</v>
      </c>
      <c r="M34" s="62">
        <v>60000</v>
      </c>
    </row>
    <row r="35" spans="1:13" ht="13.15" customHeight="1">
      <c r="A35" s="66" t="s">
        <v>150</v>
      </c>
      <c r="B35" s="61" t="s">
        <v>151</v>
      </c>
      <c r="C35" s="62">
        <v>148940</v>
      </c>
      <c r="D35" s="62"/>
      <c r="E35" s="62">
        <v>15160</v>
      </c>
      <c r="F35" s="62">
        <f>10040+25325</f>
        <v>35365</v>
      </c>
      <c r="G35" s="62"/>
      <c r="H35" s="62"/>
      <c r="I35" s="62"/>
      <c r="J35" s="62"/>
      <c r="K35" s="62"/>
      <c r="L35" s="62"/>
      <c r="M35" s="62"/>
    </row>
    <row r="36" spans="1:13" ht="13.15" customHeight="1">
      <c r="A36" s="66" t="s">
        <v>152</v>
      </c>
      <c r="B36" s="61" t="s">
        <v>153</v>
      </c>
      <c r="C36" s="62"/>
      <c r="D36" s="62"/>
      <c r="E36" s="62"/>
      <c r="F36" s="62"/>
      <c r="G36" s="62">
        <v>20493</v>
      </c>
      <c r="H36" s="62">
        <v>13132</v>
      </c>
      <c r="I36" s="62">
        <v>9363</v>
      </c>
      <c r="J36" s="62"/>
      <c r="K36" s="62"/>
      <c r="L36" s="62"/>
      <c r="M36" s="62"/>
    </row>
    <row r="37" spans="1:13" ht="13.15" customHeight="1">
      <c r="A37" s="66" t="s">
        <v>154</v>
      </c>
      <c r="B37" s="61" t="s">
        <v>155</v>
      </c>
      <c r="C37" s="62"/>
      <c r="D37" s="62"/>
      <c r="E37" s="62"/>
      <c r="F37" s="62"/>
      <c r="G37" s="62">
        <v>42242</v>
      </c>
      <c r="H37" s="62">
        <v>105564</v>
      </c>
      <c r="I37" s="62">
        <v>65992.62</v>
      </c>
      <c r="J37" s="64">
        <f>168897.95-10000</f>
        <v>158897.95000000001</v>
      </c>
      <c r="K37" s="62">
        <f>169228.7-10380.75</f>
        <v>158847.95000000001</v>
      </c>
      <c r="L37" s="62">
        <v>200000</v>
      </c>
      <c r="M37" s="62">
        <v>115000</v>
      </c>
    </row>
    <row r="38" spans="1:13" ht="13.15" customHeight="1">
      <c r="A38" s="66" t="s">
        <v>156</v>
      </c>
      <c r="B38" s="61" t="s">
        <v>157</v>
      </c>
      <c r="C38" s="62"/>
      <c r="D38" s="62"/>
      <c r="E38" s="62"/>
      <c r="F38" s="62"/>
      <c r="G38" s="62"/>
      <c r="H38" s="62"/>
      <c r="I38" s="62"/>
      <c r="J38" s="62">
        <v>40325</v>
      </c>
      <c r="K38" s="62">
        <v>40325</v>
      </c>
      <c r="L38" s="62">
        <v>40000</v>
      </c>
      <c r="M38" s="62">
        <v>60000</v>
      </c>
    </row>
    <row r="39" spans="1:13" ht="13.15" customHeight="1">
      <c r="A39" s="66" t="s">
        <v>368</v>
      </c>
      <c r="B39" s="118" t="s">
        <v>369</v>
      </c>
      <c r="C39" s="62"/>
      <c r="D39" s="62"/>
      <c r="E39" s="62"/>
      <c r="F39" s="62"/>
      <c r="G39" s="62"/>
      <c r="H39" s="62"/>
      <c r="I39" s="62"/>
      <c r="J39" s="62"/>
      <c r="K39" s="62"/>
      <c r="L39" s="62">
        <v>16500</v>
      </c>
      <c r="M39" s="62"/>
    </row>
    <row r="40" spans="1:13" ht="13.15" customHeight="1">
      <c r="A40" s="66" t="s">
        <v>158</v>
      </c>
      <c r="B40" s="61" t="s">
        <v>159</v>
      </c>
      <c r="C40" s="62"/>
      <c r="D40" s="62"/>
      <c r="E40" s="62"/>
      <c r="F40" s="64">
        <v>-21550</v>
      </c>
      <c r="G40" s="62"/>
      <c r="H40" s="62"/>
      <c r="I40" s="62"/>
      <c r="J40" s="62"/>
      <c r="K40" s="62"/>
      <c r="L40" s="62"/>
      <c r="M40" s="62"/>
    </row>
    <row r="41" spans="1:13" ht="13.15" customHeight="1">
      <c r="A41" s="61" t="s">
        <v>160</v>
      </c>
      <c r="B41" s="61" t="s">
        <v>161</v>
      </c>
      <c r="C41" s="62">
        <v>-156850</v>
      </c>
      <c r="D41" s="62"/>
      <c r="E41" s="62">
        <v>22033.83</v>
      </c>
      <c r="F41" s="62"/>
      <c r="G41" s="62"/>
      <c r="H41" s="62"/>
      <c r="I41" s="62">
        <v>25000</v>
      </c>
      <c r="J41" s="62">
        <v>-25000</v>
      </c>
      <c r="K41" s="62">
        <v>-25000</v>
      </c>
      <c r="L41" s="62"/>
      <c r="M41" s="62"/>
    </row>
    <row r="42" spans="1:13" ht="12" customHeight="1">
      <c r="C42" s="65">
        <f t="shared" ref="C42:M42" si="0">SUM(C27:C41)</f>
        <v>628307</v>
      </c>
      <c r="D42" s="65">
        <f t="shared" si="0"/>
        <v>793837</v>
      </c>
      <c r="E42" s="65">
        <f t="shared" si="0"/>
        <v>246174.83000000002</v>
      </c>
      <c r="F42" s="65">
        <f t="shared" si="0"/>
        <v>257769</v>
      </c>
      <c r="G42" s="65">
        <f t="shared" si="0"/>
        <v>809300</v>
      </c>
      <c r="H42" s="65">
        <f t="shared" si="0"/>
        <v>1229764</v>
      </c>
      <c r="I42" s="65">
        <f>SUM(I28:I41)</f>
        <v>1822965.88</v>
      </c>
      <c r="J42" s="65">
        <f t="shared" si="0"/>
        <v>1829484.8299999998</v>
      </c>
      <c r="K42" s="65">
        <f t="shared" si="0"/>
        <v>1946782.19</v>
      </c>
      <c r="L42" s="65">
        <f t="shared" si="0"/>
        <v>2201500</v>
      </c>
      <c r="M42" s="65">
        <f t="shared" si="0"/>
        <v>1865000</v>
      </c>
    </row>
    <row r="43" spans="1:13" ht="13.15" customHeight="1">
      <c r="A43" s="130" t="s">
        <v>162</v>
      </c>
      <c r="B43" s="130"/>
    </row>
    <row r="44" spans="1:13" ht="13.15" customHeight="1">
      <c r="A44" s="61" t="s">
        <v>163</v>
      </c>
      <c r="B44" s="61" t="s">
        <v>164</v>
      </c>
      <c r="C44" s="62">
        <v>7387.44</v>
      </c>
      <c r="D44" s="62">
        <v>7239.2</v>
      </c>
      <c r="E44" s="62">
        <v>3907.77</v>
      </c>
      <c r="F44" s="62">
        <v>4587.7299999999996</v>
      </c>
      <c r="G44" s="62">
        <v>5740.52</v>
      </c>
      <c r="H44" s="62">
        <v>0</v>
      </c>
      <c r="I44" s="62"/>
      <c r="J44" s="62"/>
      <c r="K44" s="62"/>
      <c r="L44" s="62"/>
      <c r="M44" s="62">
        <v>0</v>
      </c>
    </row>
    <row r="45" spans="1:13" ht="13.15" customHeight="1">
      <c r="A45" s="61" t="s">
        <v>165</v>
      </c>
      <c r="B45" s="61" t="s">
        <v>166</v>
      </c>
      <c r="C45" s="62">
        <v>0</v>
      </c>
      <c r="D45" s="62">
        <v>0</v>
      </c>
      <c r="E45" s="62">
        <v>0</v>
      </c>
      <c r="F45" s="62">
        <v>0</v>
      </c>
      <c r="G45" s="62">
        <v>480.56</v>
      </c>
      <c r="H45" s="62">
        <v>3850.67</v>
      </c>
      <c r="I45" s="62">
        <v>6280.97</v>
      </c>
      <c r="J45" s="62">
        <v>3214.39</v>
      </c>
      <c r="K45" s="62">
        <v>3707.34</v>
      </c>
      <c r="L45" s="62">
        <v>4000</v>
      </c>
      <c r="M45" s="62">
        <v>6000</v>
      </c>
    </row>
    <row r="46" spans="1:13" ht="12" customHeight="1">
      <c r="C46" s="65">
        <v>7387.44</v>
      </c>
      <c r="D46" s="65">
        <v>7239.2</v>
      </c>
      <c r="E46" s="65">
        <v>3907.77</v>
      </c>
      <c r="F46" s="65">
        <v>4587.7299999999996</v>
      </c>
      <c r="G46" s="65">
        <v>6221.08</v>
      </c>
      <c r="H46" s="65">
        <v>3850.67</v>
      </c>
      <c r="I46" s="65">
        <v>6280.97</v>
      </c>
      <c r="J46" s="65">
        <f>SUM(J44:J45)</f>
        <v>3214.39</v>
      </c>
      <c r="K46" s="65">
        <f>SUM(K44:K45)</f>
        <v>3707.34</v>
      </c>
      <c r="L46" s="65">
        <f>SUM(L44:L45)</f>
        <v>4000</v>
      </c>
      <c r="M46" s="65">
        <f>SUM(M44:M45)</f>
        <v>6000</v>
      </c>
    </row>
    <row r="47" spans="1:13" ht="13.15" customHeight="1">
      <c r="A47" s="130" t="s">
        <v>167</v>
      </c>
      <c r="B47" s="130"/>
    </row>
    <row r="48" spans="1:13" ht="13.15" customHeight="1">
      <c r="A48" s="61" t="s">
        <v>168</v>
      </c>
      <c r="B48" s="61" t="s">
        <v>169</v>
      </c>
      <c r="C48" s="62">
        <v>4025.41</v>
      </c>
      <c r="D48" s="62">
        <v>4386.59</v>
      </c>
      <c r="E48" s="62">
        <v>8700.19</v>
      </c>
      <c r="F48" s="62">
        <v>0</v>
      </c>
      <c r="G48" s="62">
        <v>0</v>
      </c>
      <c r="H48" s="62">
        <v>0</v>
      </c>
      <c r="I48" s="62"/>
      <c r="J48" s="62">
        <v>0</v>
      </c>
      <c r="K48" s="62">
        <v>0</v>
      </c>
      <c r="L48" s="62">
        <v>0</v>
      </c>
      <c r="M48" s="62">
        <v>0</v>
      </c>
    </row>
    <row r="49" spans="1:14" ht="12" customHeight="1">
      <c r="C49" s="65">
        <v>4025.41</v>
      </c>
      <c r="D49" s="65">
        <v>4386.59</v>
      </c>
      <c r="E49" s="65">
        <v>8700.19</v>
      </c>
      <c r="F49" s="65">
        <v>0</v>
      </c>
      <c r="G49" s="65">
        <v>0</v>
      </c>
      <c r="H49" s="65">
        <v>0</v>
      </c>
      <c r="I49" s="65">
        <v>0</v>
      </c>
      <c r="J49" s="65">
        <f>SUM(J48)</f>
        <v>0</v>
      </c>
      <c r="K49" s="65">
        <f>SUM(K48)</f>
        <v>0</v>
      </c>
      <c r="L49" s="65">
        <f>SUM(L48)</f>
        <v>0</v>
      </c>
      <c r="M49" s="65">
        <v>0</v>
      </c>
    </row>
    <row r="50" spans="1:14" ht="13.15" customHeight="1">
      <c r="A50" s="130" t="s">
        <v>170</v>
      </c>
      <c r="B50" s="130"/>
    </row>
    <row r="51" spans="1:14" ht="13.15" customHeight="1">
      <c r="A51" s="61" t="s">
        <v>171</v>
      </c>
      <c r="B51" s="61" t="s">
        <v>172</v>
      </c>
      <c r="C51" s="62">
        <v>-312.26</v>
      </c>
      <c r="D51" s="62">
        <v>330.49</v>
      </c>
      <c r="E51" s="62">
        <v>66365.02</v>
      </c>
      <c r="F51" s="62">
        <v>307.18</v>
      </c>
      <c r="G51" s="62">
        <v>227.1</v>
      </c>
      <c r="H51" s="62">
        <v>5344</v>
      </c>
      <c r="I51" s="62"/>
      <c r="J51" s="62"/>
      <c r="K51" s="62"/>
      <c r="L51" s="62"/>
      <c r="M51" s="62">
        <v>0</v>
      </c>
    </row>
    <row r="52" spans="1:14" ht="13.15" customHeight="1">
      <c r="A52" s="61" t="s">
        <v>173</v>
      </c>
      <c r="B52" s="61" t="s">
        <v>174</v>
      </c>
      <c r="C52" s="62">
        <v>0</v>
      </c>
      <c r="D52" s="62">
        <v>0</v>
      </c>
      <c r="E52" s="62">
        <v>112882.6</v>
      </c>
      <c r="F52" s="62">
        <v>75630.94</v>
      </c>
      <c r="G52" s="62">
        <v>0</v>
      </c>
      <c r="H52" s="62">
        <v>0</v>
      </c>
      <c r="I52" s="62"/>
      <c r="J52" s="62"/>
      <c r="K52" s="62"/>
      <c r="L52" s="62"/>
      <c r="M52" s="62">
        <v>0</v>
      </c>
    </row>
    <row r="53" spans="1:14" ht="12" customHeight="1">
      <c r="C53" s="65">
        <v>-312.26</v>
      </c>
      <c r="D53" s="65">
        <v>330.49</v>
      </c>
      <c r="E53" s="65">
        <v>179247.62</v>
      </c>
      <c r="F53" s="65">
        <v>75938.12</v>
      </c>
      <c r="G53" s="65">
        <v>227.1</v>
      </c>
      <c r="H53" s="65">
        <v>5344</v>
      </c>
      <c r="I53" s="65">
        <v>0</v>
      </c>
      <c r="J53" s="65">
        <f>SUM(J51:J52)</f>
        <v>0</v>
      </c>
      <c r="K53" s="65">
        <f>SUM(K51:K52)</f>
        <v>0</v>
      </c>
      <c r="L53" s="65">
        <f>SUM(L51:L52)</f>
        <v>0</v>
      </c>
      <c r="M53" s="65">
        <v>0</v>
      </c>
    </row>
    <row r="54" spans="1:14" ht="13.15" customHeight="1">
      <c r="A54" s="130" t="s">
        <v>175</v>
      </c>
      <c r="B54" s="130"/>
    </row>
    <row r="55" spans="1:14" ht="13.15" customHeight="1">
      <c r="A55" s="61" t="s">
        <v>176</v>
      </c>
      <c r="B55" s="61" t="s">
        <v>177</v>
      </c>
      <c r="C55" s="62">
        <v>32700</v>
      </c>
      <c r="D55" s="62">
        <v>41900</v>
      </c>
      <c r="E55" s="62">
        <v>46000</v>
      </c>
      <c r="F55" s="62">
        <v>43650</v>
      </c>
      <c r="G55" s="62">
        <v>43450</v>
      </c>
      <c r="H55" s="62">
        <v>35000</v>
      </c>
      <c r="I55" s="62">
        <v>50000</v>
      </c>
      <c r="J55" s="62">
        <v>0</v>
      </c>
      <c r="K55" s="62">
        <f>35000</f>
        <v>35000</v>
      </c>
      <c r="L55" s="62">
        <v>45000</v>
      </c>
      <c r="M55" s="62">
        <v>42500</v>
      </c>
    </row>
    <row r="56" spans="1:14" ht="13.15" customHeight="1">
      <c r="A56" s="61" t="s">
        <v>178</v>
      </c>
      <c r="B56" s="61" t="s">
        <v>179</v>
      </c>
      <c r="C56" s="62">
        <v>21666.67</v>
      </c>
      <c r="D56" s="62">
        <v>6666.67</v>
      </c>
      <c r="E56" s="62">
        <v>0</v>
      </c>
      <c r="F56" s="62">
        <v>0</v>
      </c>
      <c r="G56" s="62">
        <v>0</v>
      </c>
      <c r="H56" s="62">
        <v>0</v>
      </c>
      <c r="I56" s="62"/>
      <c r="J56" s="62"/>
      <c r="K56" s="62"/>
      <c r="L56" s="62"/>
      <c r="M56" s="62">
        <v>0</v>
      </c>
    </row>
    <row r="57" spans="1:14" ht="12" customHeight="1">
      <c r="C57" s="65">
        <v>54366.67</v>
      </c>
      <c r="D57" s="65">
        <v>48566.67</v>
      </c>
      <c r="E57" s="65">
        <v>46000</v>
      </c>
      <c r="F57" s="65">
        <v>43650</v>
      </c>
      <c r="G57" s="65">
        <v>43450</v>
      </c>
      <c r="H57" s="65">
        <v>35000</v>
      </c>
      <c r="I57" s="65">
        <v>50000</v>
      </c>
      <c r="J57" s="65">
        <f>SUM(J55:J56)</f>
        <v>0</v>
      </c>
      <c r="K57" s="65">
        <f>SUM(K55:K56)</f>
        <v>35000</v>
      </c>
      <c r="L57" s="65">
        <f>SUM(L55:L56)</f>
        <v>45000</v>
      </c>
      <c r="M57" s="65">
        <f>SUM(M55:M56)</f>
        <v>42500</v>
      </c>
    </row>
    <row r="58" spans="1:14" ht="13.35" customHeight="1"/>
    <row r="59" spans="1:14" ht="13.15" customHeight="1">
      <c r="A59" s="130" t="s">
        <v>180</v>
      </c>
      <c r="B59" s="130"/>
    </row>
    <row r="60" spans="1:14" ht="13.15" customHeight="1">
      <c r="A60" s="61" t="s">
        <v>181</v>
      </c>
      <c r="B60" s="61" t="s">
        <v>182</v>
      </c>
      <c r="C60" s="62">
        <v>150045.62</v>
      </c>
      <c r="D60" s="62">
        <v>265274.09000000003</v>
      </c>
      <c r="E60" s="62">
        <v>174973.83</v>
      </c>
      <c r="F60" s="62">
        <v>125826.23</v>
      </c>
      <c r="G60" s="62">
        <v>300402.28999999998</v>
      </c>
      <c r="H60" s="62">
        <v>700270.86</v>
      </c>
      <c r="I60" s="62">
        <v>776409.8</v>
      </c>
      <c r="J60" s="62">
        <v>749591.42</v>
      </c>
      <c r="K60" s="64">
        <v>749591.42</v>
      </c>
      <c r="L60" s="64">
        <f>'Investment revenue'!F16</f>
        <v>438154</v>
      </c>
      <c r="M60" s="116">
        <v>389731</v>
      </c>
      <c r="N60" s="76" t="s">
        <v>338</v>
      </c>
    </row>
    <row r="61" spans="1:14" ht="13.15" customHeight="1">
      <c r="A61" s="61" t="s">
        <v>183</v>
      </c>
      <c r="B61" s="61" t="s">
        <v>184</v>
      </c>
      <c r="C61" s="62">
        <v>3905.07</v>
      </c>
      <c r="D61" s="62">
        <v>1439.4</v>
      </c>
      <c r="E61" s="62">
        <v>776.29</v>
      </c>
      <c r="F61" s="62">
        <v>2021.29</v>
      </c>
      <c r="G61" s="62">
        <v>2691.23</v>
      </c>
      <c r="H61" s="62">
        <v>1539.62</v>
      </c>
      <c r="I61" s="62">
        <v>2070.09</v>
      </c>
      <c r="J61" s="62">
        <v>1450.54</v>
      </c>
      <c r="K61" s="62">
        <v>1450.54</v>
      </c>
      <c r="L61" s="62"/>
      <c r="M61" s="62">
        <v>0</v>
      </c>
    </row>
    <row r="62" spans="1:14" ht="13.15" customHeight="1">
      <c r="A62" s="61" t="s">
        <v>185</v>
      </c>
      <c r="B62" s="61" t="s">
        <v>186</v>
      </c>
      <c r="C62" s="62">
        <v>2137.15</v>
      </c>
      <c r="D62" s="62">
        <v>4974.6000000000004</v>
      </c>
      <c r="E62" s="62">
        <v>6349.62</v>
      </c>
      <c r="F62" s="62">
        <v>5785.02</v>
      </c>
      <c r="G62" s="62">
        <v>5786.75</v>
      </c>
      <c r="H62" s="62">
        <v>6295.36</v>
      </c>
      <c r="I62" s="62">
        <v>7066.23</v>
      </c>
      <c r="J62" s="62">
        <v>5679.78</v>
      </c>
      <c r="K62" s="62">
        <v>5679.78</v>
      </c>
      <c r="L62" s="62"/>
      <c r="M62" s="116">
        <v>26400</v>
      </c>
    </row>
    <row r="63" spans="1:14" ht="13.15" customHeight="1">
      <c r="A63" s="61" t="s">
        <v>187</v>
      </c>
      <c r="B63" s="61" t="s">
        <v>188</v>
      </c>
      <c r="C63" s="62">
        <v>6697.89</v>
      </c>
      <c r="D63" s="62">
        <v>-555.67999999999995</v>
      </c>
      <c r="E63" s="62">
        <v>-91.02</v>
      </c>
      <c r="F63" s="62">
        <v>-2729.01</v>
      </c>
      <c r="G63" s="62">
        <v>-250.72</v>
      </c>
      <c r="H63" s="62">
        <v>-2280.59</v>
      </c>
      <c r="I63" s="62">
        <v>-2517.8200000000002</v>
      </c>
      <c r="J63" s="62">
        <v>-608.20000000000005</v>
      </c>
      <c r="K63" s="62">
        <v>-608.20000000000005</v>
      </c>
      <c r="L63" s="62"/>
      <c r="M63" s="62">
        <v>0</v>
      </c>
    </row>
    <row r="64" spans="1:14" ht="13.15" customHeight="1">
      <c r="A64" s="61" t="s">
        <v>189</v>
      </c>
      <c r="B64" s="61" t="s">
        <v>190</v>
      </c>
      <c r="C64" s="62">
        <v>0</v>
      </c>
      <c r="D64" s="62">
        <v>114.72</v>
      </c>
      <c r="E64" s="62">
        <v>3805.8</v>
      </c>
      <c r="F64" s="62">
        <v>1995.56</v>
      </c>
      <c r="G64" s="62">
        <v>0</v>
      </c>
      <c r="H64" s="62">
        <v>0</v>
      </c>
      <c r="I64" s="62"/>
      <c r="J64" s="62"/>
      <c r="K64" s="62"/>
      <c r="L64" s="62"/>
      <c r="M64" s="62">
        <v>0</v>
      </c>
    </row>
    <row r="65" spans="1:13" ht="13.15" customHeight="1">
      <c r="A65" s="61" t="s">
        <v>191</v>
      </c>
      <c r="B65" s="61" t="s">
        <v>373</v>
      </c>
      <c r="C65" s="62">
        <v>-11522.22</v>
      </c>
      <c r="D65" s="62">
        <v>1.26</v>
      </c>
      <c r="E65" s="62">
        <v>0</v>
      </c>
      <c r="F65" s="62">
        <v>0</v>
      </c>
      <c r="G65" s="62">
        <v>0</v>
      </c>
      <c r="H65" s="62">
        <v>0</v>
      </c>
      <c r="I65" s="62">
        <v>76276.97</v>
      </c>
      <c r="J65" s="62">
        <v>309299.56</v>
      </c>
      <c r="K65" s="64">
        <f>-76276.97+385577</f>
        <v>309300.03000000003</v>
      </c>
      <c r="L65" s="64"/>
      <c r="M65" s="62">
        <v>0</v>
      </c>
    </row>
    <row r="66" spans="1:13" ht="12" customHeight="1">
      <c r="A66" s="130" t="s">
        <v>192</v>
      </c>
      <c r="B66" s="130"/>
      <c r="C66" s="65">
        <v>151263.51</v>
      </c>
      <c r="D66" s="65">
        <v>271248.39</v>
      </c>
      <c r="E66" s="65">
        <v>185814.52</v>
      </c>
      <c r="F66" s="65">
        <v>132899.09</v>
      </c>
      <c r="G66" s="65">
        <v>308629.55</v>
      </c>
      <c r="H66" s="65">
        <v>705825.25</v>
      </c>
      <c r="I66" s="65">
        <v>859305.27</v>
      </c>
      <c r="J66" s="65">
        <f>SUM(J60:J65)</f>
        <v>1065413.1000000001</v>
      </c>
      <c r="K66" s="65">
        <f>SUM(K60:K65)</f>
        <v>1065413.5700000003</v>
      </c>
      <c r="L66" s="65">
        <f>SUM(L60:L65)</f>
        <v>438154</v>
      </c>
      <c r="M66" s="65">
        <f>SUM(M60:M65)</f>
        <v>416131</v>
      </c>
    </row>
    <row r="67" spans="1:13" ht="12" customHeight="1">
      <c r="A67" s="61"/>
      <c r="B67" s="61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1:13" ht="12.6" customHeight="1">
      <c r="A68" s="129" t="s">
        <v>193</v>
      </c>
      <c r="B68" s="129"/>
      <c r="C68" s="68">
        <f>C66+C57+C53+C49+C46+C42+C25+C21+C18</f>
        <v>2138878.2599999998</v>
      </c>
      <c r="D68" s="68">
        <f t="shared" ref="D68:I68" si="1">D66+D57+D53+D49+D46+D42+D25+D21+D18</f>
        <v>1971032.8900000001</v>
      </c>
      <c r="E68" s="68">
        <f t="shared" si="1"/>
        <v>2105770.4300000002</v>
      </c>
      <c r="F68" s="68">
        <f t="shared" si="1"/>
        <v>3826925.27</v>
      </c>
      <c r="G68" s="68">
        <f t="shared" si="1"/>
        <v>2280305.73</v>
      </c>
      <c r="H68" s="68">
        <f t="shared" si="1"/>
        <v>3668390.9799999995</v>
      </c>
      <c r="I68" s="68">
        <f t="shared" si="1"/>
        <v>5019151.59</v>
      </c>
      <c r="J68" s="69">
        <f>J66+J57+J53+J49+J46+J42+J25+J21+J18</f>
        <v>4547321.24</v>
      </c>
      <c r="K68" s="69">
        <f>K66+K57+K53+K49+K46+K42+K25+K21+K18</f>
        <v>7494340.9300000006</v>
      </c>
      <c r="L68" s="69">
        <f>L66+L57+L53+L49+L46+L42+L25+L21+L18</f>
        <v>5438342</v>
      </c>
      <c r="M68" s="70">
        <f>M66+M57+M53+M49+M46+M42+M25+M21+M18</f>
        <v>4594319</v>
      </c>
    </row>
    <row r="69" spans="1:13" ht="13.35" customHeight="1"/>
    <row r="70" spans="1:13" ht="13.15" customHeight="1">
      <c r="A70" s="124" t="s">
        <v>194</v>
      </c>
      <c r="B70" s="124"/>
    </row>
    <row r="71" spans="1:13" ht="13.15" customHeight="1">
      <c r="A71" s="130" t="s">
        <v>195</v>
      </c>
      <c r="B71" s="130"/>
    </row>
    <row r="72" spans="1:13" ht="13.15" customHeight="1">
      <c r="A72" s="61" t="s">
        <v>196</v>
      </c>
      <c r="B72" s="61" t="s">
        <v>197</v>
      </c>
      <c r="C72" s="62">
        <v>8340.0499999999993</v>
      </c>
      <c r="D72" s="62">
        <v>9489.02</v>
      </c>
      <c r="E72" s="62">
        <v>9437.2900000000009</v>
      </c>
      <c r="F72" s="62">
        <v>9303.85</v>
      </c>
      <c r="G72" s="62">
        <v>6382.61</v>
      </c>
      <c r="H72" s="62">
        <v>17172.240000000002</v>
      </c>
      <c r="I72" s="62">
        <v>9075.7999999999993</v>
      </c>
      <c r="J72" s="62">
        <v>4805.01</v>
      </c>
      <c r="K72" s="62">
        <v>9976.17</v>
      </c>
      <c r="L72" s="75">
        <f>'10-5100 10-5105 10-5115 Mailing'!B42</f>
        <v>10500</v>
      </c>
      <c r="M72" s="64">
        <v>7000</v>
      </c>
    </row>
    <row r="73" spans="1:13" ht="13.15" customHeight="1">
      <c r="A73" s="61" t="s">
        <v>198</v>
      </c>
      <c r="B73" s="61" t="s">
        <v>199</v>
      </c>
      <c r="C73" s="62">
        <v>22654.5</v>
      </c>
      <c r="D73" s="62">
        <v>40443.64</v>
      </c>
      <c r="E73" s="62">
        <v>31604.91</v>
      </c>
      <c r="F73" s="62">
        <v>18677.25</v>
      </c>
      <c r="G73" s="62">
        <v>67894.22</v>
      </c>
      <c r="H73" s="62">
        <v>35729.019999999997</v>
      </c>
      <c r="I73" s="62">
        <v>37537.93</v>
      </c>
      <c r="J73" s="62">
        <v>0</v>
      </c>
      <c r="K73" s="62">
        <v>5250.76</v>
      </c>
      <c r="L73" s="120">
        <v>15000</v>
      </c>
      <c r="M73" s="64">
        <v>30000</v>
      </c>
    </row>
    <row r="74" spans="1:13" ht="13.15" customHeight="1">
      <c r="A74" s="61" t="s">
        <v>200</v>
      </c>
      <c r="B74" s="61" t="s">
        <v>0</v>
      </c>
      <c r="C74" s="62">
        <v>28827.01</v>
      </c>
      <c r="D74" s="62">
        <v>31652.52</v>
      </c>
      <c r="E74" s="62">
        <v>24950.12</v>
      </c>
      <c r="F74" s="62">
        <v>44350.89</v>
      </c>
      <c r="G74" s="62">
        <v>27919.65</v>
      </c>
      <c r="H74" s="62">
        <v>29695.86</v>
      </c>
      <c r="I74" s="62">
        <v>34543.360000000001</v>
      </c>
      <c r="J74" s="62">
        <v>20704.189999999999</v>
      </c>
      <c r="K74" s="62">
        <v>20704.189999999999</v>
      </c>
      <c r="L74" s="75">
        <f>'10-5100 10-5105 10-5115 Mailing'!B23</f>
        <v>32000</v>
      </c>
      <c r="M74" s="64">
        <v>30000</v>
      </c>
    </row>
    <row r="75" spans="1:13" ht="13.15" customHeight="1">
      <c r="A75" s="61" t="s">
        <v>201</v>
      </c>
      <c r="B75" s="61" t="s">
        <v>202</v>
      </c>
      <c r="C75" s="62">
        <v>21276.97</v>
      </c>
      <c r="D75" s="62">
        <v>7827.56</v>
      </c>
      <c r="E75" s="62">
        <v>7235.21</v>
      </c>
      <c r="F75" s="62">
        <v>20829.84</v>
      </c>
      <c r="G75" s="62">
        <v>18658.41</v>
      </c>
      <c r="H75" s="62">
        <v>21292.63</v>
      </c>
      <c r="I75" s="62">
        <v>16197.41</v>
      </c>
      <c r="J75" s="62">
        <v>8833.48</v>
      </c>
      <c r="K75" s="62">
        <v>10283.209999999999</v>
      </c>
      <c r="L75" s="75">
        <f>'10-5120 publicity'!F9</f>
        <v>20500</v>
      </c>
      <c r="M75" s="116">
        <v>23500</v>
      </c>
    </row>
    <row r="76" spans="1:13" ht="13.15" customHeight="1">
      <c r="A76" s="61" t="s">
        <v>203</v>
      </c>
      <c r="B76" s="61" t="s">
        <v>204</v>
      </c>
      <c r="C76" s="62">
        <v>7835.83</v>
      </c>
      <c r="D76" s="62">
        <v>6537.79</v>
      </c>
      <c r="E76" s="62">
        <v>0</v>
      </c>
      <c r="F76" s="62">
        <v>0</v>
      </c>
      <c r="G76" s="62">
        <v>0</v>
      </c>
      <c r="H76" s="62">
        <v>17965.259999999998</v>
      </c>
      <c r="I76" s="62">
        <v>0</v>
      </c>
      <c r="J76" s="62">
        <v>1183.24</v>
      </c>
      <c r="K76" s="62">
        <v>17371.66</v>
      </c>
      <c r="L76" s="75">
        <f>'10-5125 Marketing Materials-MC'!C19</f>
        <v>140000</v>
      </c>
      <c r="M76" s="116">
        <v>160000</v>
      </c>
    </row>
    <row r="77" spans="1:13" ht="13.15" customHeight="1">
      <c r="A77" s="61" t="s">
        <v>205</v>
      </c>
      <c r="B77" s="61" t="s">
        <v>206</v>
      </c>
      <c r="C77" s="62">
        <v>66016.7</v>
      </c>
      <c r="D77" s="62">
        <v>9831.09</v>
      </c>
      <c r="E77" s="62">
        <v>941.79</v>
      </c>
      <c r="F77" s="62">
        <v>3057.68</v>
      </c>
      <c r="G77" s="62">
        <v>10364.11</v>
      </c>
      <c r="H77" s="62">
        <v>4973.95</v>
      </c>
      <c r="I77" s="62">
        <v>20395.39</v>
      </c>
      <c r="J77" s="62">
        <v>5898.23</v>
      </c>
      <c r="K77" s="62">
        <v>6010.66</v>
      </c>
      <c r="L77" s="75">
        <f>'10-5130 Donor recognition'!C6</f>
        <v>20000</v>
      </c>
      <c r="M77" s="116">
        <v>20000</v>
      </c>
    </row>
    <row r="78" spans="1:13" ht="13.15" customHeight="1">
      <c r="A78" s="61" t="s">
        <v>207</v>
      </c>
      <c r="B78" s="61" t="s">
        <v>208</v>
      </c>
      <c r="C78" s="62">
        <v>15971.76</v>
      </c>
      <c r="D78" s="62">
        <v>20435.61</v>
      </c>
      <c r="E78" s="62">
        <v>12730.67</v>
      </c>
      <c r="F78" s="62">
        <v>13185.96</v>
      </c>
      <c r="G78" s="62">
        <v>24220.07</v>
      </c>
      <c r="H78" s="62">
        <v>31887.82</v>
      </c>
      <c r="I78" s="62">
        <v>43169.37</v>
      </c>
      <c r="J78" s="62">
        <v>32598.87</v>
      </c>
      <c r="K78" s="62">
        <v>32706.51</v>
      </c>
      <c r="L78" s="62">
        <v>44000</v>
      </c>
      <c r="M78" s="64">
        <v>38000</v>
      </c>
    </row>
    <row r="79" spans="1:13" ht="12" customHeight="1">
      <c r="C79" s="65">
        <v>170922.82</v>
      </c>
      <c r="D79" s="65">
        <v>126217.23</v>
      </c>
      <c r="E79" s="65">
        <v>86899.99</v>
      </c>
      <c r="F79" s="65">
        <v>109405.47</v>
      </c>
      <c r="G79" s="65">
        <v>155439.07</v>
      </c>
      <c r="H79" s="65">
        <v>158716.78</v>
      </c>
      <c r="I79" s="65">
        <v>160919</v>
      </c>
      <c r="J79" s="65">
        <f>SUM(J72:J78)</f>
        <v>74023.01999999999</v>
      </c>
      <c r="K79" s="65">
        <f>SUM(K72:K78)</f>
        <v>102303.15999999999</v>
      </c>
      <c r="L79" s="65">
        <f>SUM(L72:L78)</f>
        <v>282000</v>
      </c>
      <c r="M79" s="71">
        <f>SUM(M72:M78)</f>
        <v>308500</v>
      </c>
    </row>
    <row r="80" spans="1:13" ht="13.15" customHeight="1">
      <c r="A80" s="130" t="s">
        <v>209</v>
      </c>
      <c r="B80" s="130"/>
    </row>
    <row r="81" spans="1:14" ht="13.15" customHeight="1">
      <c r="A81" s="66" t="s">
        <v>210</v>
      </c>
      <c r="B81" s="61" t="s">
        <v>211</v>
      </c>
      <c r="C81" s="62">
        <v>14116</v>
      </c>
      <c r="D81" s="62"/>
      <c r="E81" s="62"/>
      <c r="F81" s="62"/>
      <c r="G81" s="62"/>
      <c r="H81" s="62"/>
      <c r="I81" s="62"/>
      <c r="J81" s="62"/>
      <c r="K81" s="62"/>
      <c r="L81" s="62"/>
      <c r="M81" s="64"/>
    </row>
    <row r="82" spans="1:14" ht="13.15" customHeight="1">
      <c r="A82" s="66" t="s">
        <v>212</v>
      </c>
      <c r="B82" s="61" t="s">
        <v>213</v>
      </c>
      <c r="C82" s="62"/>
      <c r="D82" s="62">
        <v>19712</v>
      </c>
      <c r="E82" s="62">
        <v>8957</v>
      </c>
      <c r="F82" s="62">
        <v>20309</v>
      </c>
      <c r="G82" s="62"/>
      <c r="H82" s="62"/>
      <c r="I82" s="62"/>
      <c r="J82" s="62"/>
      <c r="K82" s="62"/>
      <c r="L82" s="62"/>
      <c r="M82" s="64"/>
    </row>
    <row r="83" spans="1:14" ht="13.15" customHeight="1">
      <c r="A83" s="66" t="s">
        <v>214</v>
      </c>
      <c r="B83" s="61" t="s">
        <v>215</v>
      </c>
      <c r="C83" s="62">
        <v>117248</v>
      </c>
      <c r="D83" s="62">
        <v>134058</v>
      </c>
      <c r="E83" s="62"/>
      <c r="F83" s="62">
        <v>-749</v>
      </c>
      <c r="G83" s="62">
        <v>253975</v>
      </c>
      <c r="H83" s="62">
        <v>288316</v>
      </c>
      <c r="I83" s="62">
        <v>448684.14</v>
      </c>
      <c r="J83" s="62">
        <v>465230.26</v>
      </c>
      <c r="K83" s="62">
        <f>527084.04+8898.1+9400.84</f>
        <v>545382.98</v>
      </c>
      <c r="L83" s="62">
        <v>465000</v>
      </c>
      <c r="M83" s="64">
        <v>450000</v>
      </c>
    </row>
    <row r="84" spans="1:14" ht="13.15" customHeight="1">
      <c r="A84" s="66" t="s">
        <v>216</v>
      </c>
      <c r="B84" s="61" t="s">
        <v>217</v>
      </c>
      <c r="C84" s="62">
        <v>65374</v>
      </c>
      <c r="D84" s="62">
        <v>59810</v>
      </c>
      <c r="E84" s="62">
        <v>387</v>
      </c>
      <c r="F84" s="62">
        <v>84700</v>
      </c>
      <c r="G84" s="62">
        <v>82344</v>
      </c>
      <c r="H84" s="62">
        <v>118245</v>
      </c>
      <c r="I84" s="62">
        <v>124281.66</v>
      </c>
      <c r="J84" s="62">
        <v>147498.76999999999</v>
      </c>
      <c r="K84" s="62">
        <f>156396.87-8898.1</f>
        <v>147498.76999999999</v>
      </c>
      <c r="L84" s="62">
        <v>150000</v>
      </c>
      <c r="M84" s="64">
        <v>130000</v>
      </c>
    </row>
    <row r="85" spans="1:14" ht="13.15" customHeight="1">
      <c r="A85" s="66" t="s">
        <v>218</v>
      </c>
      <c r="B85" s="61" t="s">
        <v>219</v>
      </c>
      <c r="C85" s="62"/>
      <c r="D85" s="62"/>
      <c r="E85" s="62"/>
      <c r="F85" s="62"/>
      <c r="G85" s="62"/>
      <c r="H85" s="62">
        <v>684</v>
      </c>
      <c r="I85" s="62">
        <v>986.56</v>
      </c>
      <c r="J85" s="62">
        <v>637.74</v>
      </c>
      <c r="K85" s="62">
        <v>637.74</v>
      </c>
      <c r="L85" s="62">
        <v>750</v>
      </c>
      <c r="M85" s="64">
        <v>1000</v>
      </c>
    </row>
    <row r="86" spans="1:14" ht="13.15" customHeight="1">
      <c r="A86" s="66" t="s">
        <v>220</v>
      </c>
      <c r="B86" s="61" t="s">
        <v>221</v>
      </c>
      <c r="C86" s="62">
        <v>3461</v>
      </c>
      <c r="D86" s="62">
        <v>1580</v>
      </c>
      <c r="E86" s="62"/>
      <c r="F86" s="62"/>
      <c r="G86" s="62"/>
      <c r="H86" s="62"/>
      <c r="I86" s="62"/>
      <c r="J86" s="62"/>
      <c r="K86" s="62"/>
      <c r="L86" s="62"/>
      <c r="M86" s="64"/>
    </row>
    <row r="87" spans="1:14" ht="13.15" customHeight="1">
      <c r="A87" s="66" t="s">
        <v>222</v>
      </c>
      <c r="B87" s="61" t="s">
        <v>223</v>
      </c>
      <c r="C87" s="62"/>
      <c r="D87" s="62">
        <v>6228</v>
      </c>
      <c r="E87" s="62">
        <v>519</v>
      </c>
      <c r="F87" s="62"/>
      <c r="G87" s="62"/>
      <c r="H87" s="62"/>
      <c r="I87" s="62"/>
      <c r="J87" s="62"/>
      <c r="K87" s="62"/>
      <c r="L87" s="62"/>
      <c r="M87" s="64"/>
    </row>
    <row r="88" spans="1:14" ht="13.15" customHeight="1">
      <c r="A88" s="66" t="s">
        <v>224</v>
      </c>
      <c r="B88" s="61" t="s">
        <v>225</v>
      </c>
      <c r="C88" s="62"/>
      <c r="D88" s="62"/>
      <c r="E88" s="62"/>
      <c r="F88" s="62"/>
      <c r="G88" s="62"/>
      <c r="H88" s="62">
        <v>31767</v>
      </c>
      <c r="I88" s="62">
        <v>106766.87</v>
      </c>
      <c r="J88" s="62">
        <v>13215.71</v>
      </c>
      <c r="K88" s="64">
        <v>33463.07</v>
      </c>
      <c r="L88" s="64">
        <v>35000</v>
      </c>
      <c r="M88" s="64">
        <v>36000</v>
      </c>
    </row>
    <row r="89" spans="1:14" ht="13.15" customHeight="1">
      <c r="A89" s="66" t="s">
        <v>226</v>
      </c>
      <c r="B89" s="61" t="s">
        <v>227</v>
      </c>
      <c r="C89" s="62">
        <v>-109</v>
      </c>
      <c r="D89" s="62">
        <v>380</v>
      </c>
      <c r="E89" s="62"/>
      <c r="F89" s="62">
        <f>6962+2771</f>
        <v>9733</v>
      </c>
      <c r="G89" s="62">
        <v>64</v>
      </c>
      <c r="H89" s="62">
        <v>150</v>
      </c>
      <c r="I89" s="62">
        <v>530</v>
      </c>
      <c r="J89" s="62"/>
      <c r="K89" s="62"/>
      <c r="L89" s="62"/>
      <c r="M89" s="64">
        <v>5000</v>
      </c>
    </row>
    <row r="90" spans="1:14" ht="13.15" customHeight="1">
      <c r="A90" s="66" t="s">
        <v>228</v>
      </c>
      <c r="B90" s="61" t="s">
        <v>229</v>
      </c>
      <c r="C90" s="62"/>
      <c r="D90" s="62"/>
      <c r="E90" s="62"/>
      <c r="F90" s="62"/>
      <c r="G90" s="62">
        <v>3049</v>
      </c>
      <c r="H90" s="62">
        <v>2932</v>
      </c>
      <c r="I90" s="62">
        <v>1120.58</v>
      </c>
      <c r="J90" s="62"/>
      <c r="K90" s="62"/>
      <c r="L90" s="62"/>
      <c r="M90" s="64"/>
    </row>
    <row r="91" spans="1:14" ht="13.15" customHeight="1">
      <c r="A91" s="66" t="s">
        <v>230</v>
      </c>
      <c r="B91" s="61" t="s">
        <v>231</v>
      </c>
      <c r="C91" s="62"/>
      <c r="D91" s="62"/>
      <c r="E91" s="62"/>
      <c r="F91" s="62"/>
      <c r="G91" s="62">
        <v>6889</v>
      </c>
      <c r="H91" s="62">
        <v>17972</v>
      </c>
      <c r="I91" s="62">
        <v>14611.97</v>
      </c>
      <c r="J91" s="62">
        <v>24758.65</v>
      </c>
      <c r="K91" s="62">
        <v>24758.65</v>
      </c>
      <c r="L91" s="62">
        <v>37000</v>
      </c>
      <c r="M91" s="64">
        <v>20000</v>
      </c>
    </row>
    <row r="92" spans="1:14" ht="13.15" customHeight="1">
      <c r="A92" s="66" t="s">
        <v>232</v>
      </c>
      <c r="B92" s="61" t="s">
        <v>233</v>
      </c>
      <c r="C92" s="62"/>
      <c r="D92" s="62"/>
      <c r="E92" s="62"/>
      <c r="F92" s="62"/>
      <c r="G92" s="62"/>
      <c r="H92" s="62"/>
      <c r="I92" s="62"/>
      <c r="J92" s="62">
        <v>18385.98</v>
      </c>
      <c r="K92" s="62">
        <v>18385.98</v>
      </c>
      <c r="L92" s="62">
        <v>20000</v>
      </c>
      <c r="M92" s="64">
        <v>25000</v>
      </c>
    </row>
    <row r="93" spans="1:14" ht="13.15" customHeight="1">
      <c r="A93" s="66" t="s">
        <v>366</v>
      </c>
      <c r="B93" s="118" t="s">
        <v>367</v>
      </c>
      <c r="C93" s="62"/>
      <c r="D93" s="62"/>
      <c r="E93" s="62"/>
      <c r="F93" s="62"/>
      <c r="G93" s="62"/>
      <c r="H93" s="62"/>
      <c r="I93" s="62"/>
      <c r="J93" s="62"/>
      <c r="K93" s="62"/>
      <c r="L93" s="62">
        <v>1030</v>
      </c>
      <c r="M93" s="64"/>
    </row>
    <row r="94" spans="1:14" ht="13.15" customHeight="1">
      <c r="A94" s="66" t="s">
        <v>234</v>
      </c>
      <c r="B94" s="61" t="s">
        <v>235</v>
      </c>
      <c r="C94" s="62"/>
      <c r="D94" s="62">
        <v>1450</v>
      </c>
      <c r="E94" s="62">
        <v>281</v>
      </c>
      <c r="F94" s="62">
        <v>1922</v>
      </c>
      <c r="G94" s="62">
        <v>10175</v>
      </c>
      <c r="H94" s="62">
        <v>4540</v>
      </c>
      <c r="I94" s="62">
        <v>3878.94</v>
      </c>
      <c r="J94" s="62">
        <v>1171.8499999999999</v>
      </c>
      <c r="K94" s="62">
        <v>1816.77</v>
      </c>
      <c r="L94" s="62"/>
      <c r="M94" s="64">
        <v>600</v>
      </c>
    </row>
    <row r="95" spans="1:14" s="73" customFormat="1" ht="13.15" customHeight="1">
      <c r="A95" s="72"/>
      <c r="B95" s="72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77"/>
    </row>
    <row r="96" spans="1:14" ht="13.15" customHeight="1">
      <c r="A96" s="61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4"/>
    </row>
    <row r="97" spans="1:13" ht="13.15" customHeight="1">
      <c r="A97" s="61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4"/>
    </row>
    <row r="98" spans="1:13" ht="12" customHeight="1">
      <c r="C98" s="65">
        <f>SUM(C81:C97)</f>
        <v>200090</v>
      </c>
      <c r="D98" s="65">
        <f t="shared" ref="D98:M98" si="2">SUM(D81:D97)</f>
        <v>223218</v>
      </c>
      <c r="E98" s="65">
        <f t="shared" si="2"/>
        <v>10144</v>
      </c>
      <c r="F98" s="65">
        <f t="shared" si="2"/>
        <v>115915</v>
      </c>
      <c r="G98" s="65">
        <f t="shared" si="2"/>
        <v>356496</v>
      </c>
      <c r="H98" s="65">
        <f t="shared" si="2"/>
        <v>464606</v>
      </c>
      <c r="I98" s="65">
        <f>SUM(I81:I97)</f>
        <v>700860.72</v>
      </c>
      <c r="J98" s="65">
        <f t="shared" si="2"/>
        <v>670898.96</v>
      </c>
      <c r="K98" s="65">
        <f t="shared" si="2"/>
        <v>771943.96</v>
      </c>
      <c r="L98" s="65">
        <f t="shared" si="2"/>
        <v>708780</v>
      </c>
      <c r="M98" s="65">
        <f t="shared" si="2"/>
        <v>667600</v>
      </c>
    </row>
    <row r="99" spans="1:13" ht="13.35" customHeight="1"/>
    <row r="100" spans="1:13" ht="13.15" customHeight="1">
      <c r="A100" s="130" t="s">
        <v>236</v>
      </c>
      <c r="B100" s="130"/>
    </row>
    <row r="101" spans="1:13" ht="13.15" customHeight="1">
      <c r="A101" s="61" t="s">
        <v>237</v>
      </c>
      <c r="B101" s="61" t="s">
        <v>238</v>
      </c>
      <c r="C101" s="62">
        <v>0</v>
      </c>
      <c r="D101" s="62">
        <v>0</v>
      </c>
      <c r="E101" s="62">
        <v>0</v>
      </c>
      <c r="F101" s="62">
        <v>20843.099999999999</v>
      </c>
      <c r="G101" s="62">
        <v>51282.239999999998</v>
      </c>
      <c r="H101" s="62">
        <v>50605.98</v>
      </c>
      <c r="I101" s="62">
        <v>38865.11</v>
      </c>
      <c r="J101" s="62">
        <v>34378.629999999997</v>
      </c>
      <c r="K101" s="62">
        <v>34378.629999999997</v>
      </c>
      <c r="L101" s="62">
        <v>50000</v>
      </c>
      <c r="M101" s="64">
        <v>45000</v>
      </c>
    </row>
    <row r="102" spans="1:13" ht="13.15" customHeight="1">
      <c r="A102" s="61" t="s">
        <v>239</v>
      </c>
      <c r="B102" s="61" t="s">
        <v>240</v>
      </c>
      <c r="C102" s="62">
        <v>0</v>
      </c>
      <c r="D102" s="62">
        <v>0</v>
      </c>
      <c r="E102" s="62">
        <v>0</v>
      </c>
      <c r="F102" s="62">
        <v>0</v>
      </c>
      <c r="G102" s="62">
        <v>0</v>
      </c>
      <c r="H102" s="62">
        <v>10044.64</v>
      </c>
      <c r="I102" s="62">
        <v>6257.99</v>
      </c>
      <c r="J102" s="62"/>
      <c r="K102" s="62"/>
      <c r="L102" s="62"/>
      <c r="M102" s="64">
        <v>0</v>
      </c>
    </row>
    <row r="103" spans="1:13" ht="13.15" customHeight="1">
      <c r="A103" s="61" t="s">
        <v>241</v>
      </c>
      <c r="B103" s="61" t="s">
        <v>242</v>
      </c>
      <c r="C103" s="62">
        <v>55469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/>
      <c r="J103" s="62"/>
      <c r="K103" s="62"/>
      <c r="L103" s="62"/>
      <c r="M103" s="64">
        <v>0</v>
      </c>
    </row>
    <row r="104" spans="1:13" ht="13.15" customHeight="1">
      <c r="A104" s="61" t="s">
        <v>243</v>
      </c>
      <c r="B104" s="61" t="s">
        <v>244</v>
      </c>
      <c r="C104" s="62">
        <v>0</v>
      </c>
      <c r="D104" s="62">
        <v>0</v>
      </c>
      <c r="E104" s="62">
        <v>0</v>
      </c>
      <c r="F104" s="62">
        <v>429</v>
      </c>
      <c r="G104" s="62">
        <v>4800</v>
      </c>
      <c r="H104" s="62">
        <v>0</v>
      </c>
      <c r="I104" s="62"/>
      <c r="M104" s="64">
        <v>0</v>
      </c>
    </row>
    <row r="105" spans="1:13" ht="13.15" customHeight="1">
      <c r="A105" s="61" t="s">
        <v>245</v>
      </c>
      <c r="B105" s="61" t="s">
        <v>246</v>
      </c>
      <c r="C105" s="62">
        <v>470.2</v>
      </c>
      <c r="D105" s="62">
        <v>5691.34</v>
      </c>
      <c r="E105" s="62">
        <v>4561.5</v>
      </c>
      <c r="F105" s="62">
        <v>8003.31</v>
      </c>
      <c r="G105" s="62">
        <v>-3014.63</v>
      </c>
      <c r="H105" s="62">
        <v>-830.54</v>
      </c>
      <c r="I105" s="62">
        <v>-2235.2600000000002</v>
      </c>
      <c r="J105" s="62">
        <v>9687.5</v>
      </c>
      <c r="K105" s="62">
        <v>9687.5</v>
      </c>
      <c r="L105" s="62">
        <v>9688</v>
      </c>
      <c r="M105" s="64">
        <v>9688</v>
      </c>
    </row>
    <row r="106" spans="1:13" ht="12" customHeight="1">
      <c r="C106" s="65">
        <v>55939.199999999997</v>
      </c>
      <c r="D106" s="65">
        <v>5691.34</v>
      </c>
      <c r="E106" s="65">
        <v>4561.5</v>
      </c>
      <c r="F106" s="65">
        <v>29275.41</v>
      </c>
      <c r="G106" s="65">
        <v>53067.61</v>
      </c>
      <c r="H106" s="65">
        <v>59820.08</v>
      </c>
      <c r="I106" s="65">
        <v>42887.839999999997</v>
      </c>
      <c r="J106" s="65">
        <f>SUM(J101:J105)</f>
        <v>44066.13</v>
      </c>
      <c r="K106" s="65">
        <f>SUM(K101:K105)</f>
        <v>44066.13</v>
      </c>
      <c r="L106" s="65">
        <f>SUM(L101:L105)</f>
        <v>59688</v>
      </c>
      <c r="M106" s="71">
        <f>SUM(M101:M105)</f>
        <v>54688</v>
      </c>
    </row>
    <row r="107" spans="1:13" ht="13.15" customHeight="1">
      <c r="A107" s="130" t="s">
        <v>247</v>
      </c>
      <c r="B107" s="130"/>
    </row>
    <row r="108" spans="1:13" ht="13.15" customHeight="1">
      <c r="A108" s="130" t="s">
        <v>248</v>
      </c>
      <c r="B108" s="130"/>
    </row>
    <row r="109" spans="1:13" ht="13.15" customHeight="1">
      <c r="A109" s="61" t="s">
        <v>249</v>
      </c>
      <c r="B109" s="61" t="s">
        <v>250</v>
      </c>
      <c r="C109" s="62">
        <v>506512.86</v>
      </c>
      <c r="D109" s="62">
        <v>577274.39</v>
      </c>
      <c r="E109" s="62">
        <v>492567.24</v>
      </c>
      <c r="F109" s="62">
        <v>621961.65</v>
      </c>
      <c r="G109" s="62">
        <v>588609.29</v>
      </c>
      <c r="H109" s="62">
        <v>657297.25</v>
      </c>
      <c r="I109" s="62">
        <v>668793.86</v>
      </c>
      <c r="J109" s="62">
        <v>561900.34</v>
      </c>
      <c r="K109" s="62">
        <f>585900.34+207048</f>
        <v>792948.34</v>
      </c>
      <c r="L109" s="120">
        <v>964500</v>
      </c>
      <c r="M109" s="64">
        <v>850000</v>
      </c>
    </row>
    <row r="110" spans="1:13" ht="13.15" customHeight="1">
      <c r="A110" s="61" t="s">
        <v>251</v>
      </c>
      <c r="B110" s="61" t="s">
        <v>252</v>
      </c>
      <c r="C110" s="62">
        <v>40260.660000000003</v>
      </c>
      <c r="D110" s="62">
        <v>45232.49</v>
      </c>
      <c r="E110" s="62">
        <v>37437.519999999997</v>
      </c>
      <c r="F110" s="62">
        <v>52042.84</v>
      </c>
      <c r="G110" s="62">
        <v>46741.03</v>
      </c>
      <c r="H110" s="62">
        <v>51266.96</v>
      </c>
      <c r="I110" s="62">
        <v>53006.32</v>
      </c>
      <c r="J110" s="62">
        <v>34808.089999999997</v>
      </c>
      <c r="K110" s="62">
        <v>35139.589999999997</v>
      </c>
      <c r="L110" s="62"/>
      <c r="M110" s="62">
        <v>0</v>
      </c>
    </row>
    <row r="111" spans="1:13" ht="13.15" customHeight="1">
      <c r="A111" s="61" t="s">
        <v>253</v>
      </c>
      <c r="B111" s="61" t="s">
        <v>255</v>
      </c>
      <c r="C111" s="62">
        <v>-8185.54</v>
      </c>
      <c r="D111" s="62">
        <v>-5405.44</v>
      </c>
      <c r="E111" s="62">
        <v>-4847.8599999999997</v>
      </c>
      <c r="F111" s="62">
        <v>-7369.03</v>
      </c>
      <c r="G111" s="62">
        <v>-7691.34</v>
      </c>
      <c r="H111" s="62">
        <v>-8547.66</v>
      </c>
      <c r="I111" s="62">
        <v>-8199.65</v>
      </c>
      <c r="J111" s="62">
        <v>-4891.24</v>
      </c>
      <c r="K111" s="62">
        <v>-4891.24</v>
      </c>
      <c r="L111" s="62"/>
      <c r="M111" s="62">
        <v>0</v>
      </c>
    </row>
    <row r="112" spans="1:13" ht="13.15" customHeight="1">
      <c r="A112" s="61" t="s">
        <v>254</v>
      </c>
      <c r="B112" s="61" t="s">
        <v>337</v>
      </c>
      <c r="C112" s="62">
        <v>-9578.7000000000007</v>
      </c>
      <c r="D112" s="62">
        <v>-12398.46</v>
      </c>
      <c r="E112" s="62">
        <v>-8830.5</v>
      </c>
      <c r="F112" s="62">
        <v>-11350.49</v>
      </c>
      <c r="G112" s="62">
        <v>-9730.1</v>
      </c>
      <c r="H112" s="62">
        <v>-10096.64</v>
      </c>
      <c r="I112" s="62">
        <v>-13817.42</v>
      </c>
      <c r="J112" s="62">
        <v>-11312.26</v>
      </c>
      <c r="K112" s="62">
        <v>-11312.26</v>
      </c>
      <c r="L112" s="62"/>
      <c r="M112" s="62">
        <v>0</v>
      </c>
    </row>
    <row r="113" spans="1:13" ht="13.15" customHeight="1">
      <c r="A113" s="61" t="s">
        <v>256</v>
      </c>
      <c r="B113" s="61" t="s">
        <v>257</v>
      </c>
      <c r="C113" s="62">
        <v>-305.22000000000003</v>
      </c>
      <c r="D113" s="62">
        <v>-161.99</v>
      </c>
      <c r="E113" s="62">
        <v>447.42</v>
      </c>
      <c r="F113" s="62">
        <v>-298.75</v>
      </c>
      <c r="G113" s="62">
        <v>-28.12</v>
      </c>
      <c r="H113" s="62">
        <v>-1221.8900000000001</v>
      </c>
      <c r="I113" s="62">
        <v>336.25</v>
      </c>
      <c r="J113" s="62">
        <v>49.44</v>
      </c>
      <c r="K113" s="62">
        <v>49.44</v>
      </c>
      <c r="L113" s="62"/>
      <c r="M113" s="62">
        <v>0</v>
      </c>
    </row>
    <row r="114" spans="1:13" ht="13.15" customHeight="1">
      <c r="A114" s="61" t="s">
        <v>258</v>
      </c>
      <c r="B114" s="61" t="s">
        <v>259</v>
      </c>
      <c r="C114" s="62">
        <v>33526.720000000001</v>
      </c>
      <c r="D114" s="62">
        <v>31370.69</v>
      </c>
      <c r="E114" s="62">
        <v>29608.799999999999</v>
      </c>
      <c r="F114" s="62">
        <v>32369.69</v>
      </c>
      <c r="G114" s="62">
        <v>29890.5</v>
      </c>
      <c r="H114" s="62">
        <v>32603.21</v>
      </c>
      <c r="I114" s="62">
        <v>38211.03</v>
      </c>
      <c r="J114" s="62">
        <v>36518.19</v>
      </c>
      <c r="K114" s="62">
        <v>36518.19</v>
      </c>
      <c r="L114" s="62"/>
      <c r="M114" s="62">
        <v>0</v>
      </c>
    </row>
    <row r="115" spans="1:13" ht="13.15" customHeight="1">
      <c r="A115" s="61" t="s">
        <v>260</v>
      </c>
      <c r="B115" s="61" t="s">
        <v>261</v>
      </c>
      <c r="C115" s="62">
        <v>5120.58</v>
      </c>
      <c r="D115" s="62">
        <v>8332.9500000000007</v>
      </c>
      <c r="E115" s="62">
        <v>5292.88</v>
      </c>
      <c r="F115" s="62">
        <v>7158.63</v>
      </c>
      <c r="G115" s="62">
        <v>5981.88</v>
      </c>
      <c r="H115" s="62">
        <v>5675.9</v>
      </c>
      <c r="I115" s="62">
        <v>5657.9</v>
      </c>
      <c r="J115" s="62">
        <v>4072.13</v>
      </c>
      <c r="K115" s="62">
        <v>4148.25</v>
      </c>
      <c r="L115" s="62"/>
      <c r="M115" s="62">
        <v>0</v>
      </c>
    </row>
    <row r="116" spans="1:13" ht="12" customHeight="1">
      <c r="C116" s="65">
        <v>567351.36</v>
      </c>
      <c r="D116" s="65">
        <v>644244.63</v>
      </c>
      <c r="E116" s="65">
        <v>551675.5</v>
      </c>
      <c r="F116" s="65">
        <v>694514.54</v>
      </c>
      <c r="G116" s="65">
        <v>653773.14</v>
      </c>
      <c r="H116" s="65">
        <v>726977.13</v>
      </c>
      <c r="I116" s="65">
        <v>743988.29</v>
      </c>
      <c r="J116" s="65">
        <f>SUM(J109:J115)</f>
        <v>621144.68999999983</v>
      </c>
      <c r="K116" s="65">
        <f>SUM(K109:K115)</f>
        <v>852600.30999999982</v>
      </c>
      <c r="L116" s="65">
        <f>SUM(L109:L115)</f>
        <v>964500</v>
      </c>
      <c r="M116" s="65">
        <f>SUM(M109:M115)</f>
        <v>850000</v>
      </c>
    </row>
    <row r="117" spans="1:13" ht="13.15" customHeight="1">
      <c r="A117" s="130" t="s">
        <v>262</v>
      </c>
      <c r="B117" s="130"/>
    </row>
    <row r="118" spans="1:13" ht="13.15" customHeight="1">
      <c r="A118" s="61" t="s">
        <v>263</v>
      </c>
      <c r="B118" s="61" t="s">
        <v>264</v>
      </c>
      <c r="C118" s="62">
        <v>725</v>
      </c>
      <c r="D118" s="62">
        <v>0</v>
      </c>
      <c r="E118" s="62">
        <v>0</v>
      </c>
      <c r="F118" s="62">
        <v>2160</v>
      </c>
      <c r="G118" s="62">
        <v>390</v>
      </c>
      <c r="H118" s="62">
        <v>150</v>
      </c>
      <c r="I118" s="62">
        <v>1635</v>
      </c>
      <c r="J118" s="62">
        <v>1635</v>
      </c>
      <c r="K118" s="62">
        <v>1635</v>
      </c>
      <c r="L118" s="64">
        <v>2125</v>
      </c>
      <c r="M118" s="64">
        <v>1635</v>
      </c>
    </row>
    <row r="119" spans="1:13" ht="13.15" customHeight="1">
      <c r="A119" s="61" t="s">
        <v>265</v>
      </c>
      <c r="B119" s="61" t="s">
        <v>266</v>
      </c>
      <c r="C119" s="62">
        <v>0</v>
      </c>
      <c r="D119" s="62">
        <v>0</v>
      </c>
      <c r="E119" s="62">
        <v>0</v>
      </c>
      <c r="F119" s="62">
        <v>519.58000000000004</v>
      </c>
      <c r="G119" s="62">
        <v>0</v>
      </c>
      <c r="H119" s="62">
        <v>0</v>
      </c>
      <c r="I119" s="62">
        <v>0</v>
      </c>
      <c r="J119" s="62"/>
      <c r="K119" s="62"/>
      <c r="L119" s="62"/>
      <c r="M119" s="62">
        <v>0</v>
      </c>
    </row>
    <row r="120" spans="1:13" ht="13.15" customHeight="1">
      <c r="A120" s="61" t="s">
        <v>267</v>
      </c>
      <c r="B120" s="61" t="s">
        <v>268</v>
      </c>
      <c r="C120" s="62">
        <v>0</v>
      </c>
      <c r="D120" s="62">
        <v>0</v>
      </c>
      <c r="E120" s="62">
        <v>0</v>
      </c>
      <c r="F120" s="62">
        <v>665.85</v>
      </c>
      <c r="G120" s="62">
        <v>3608.05</v>
      </c>
      <c r="H120" s="62">
        <v>443.9</v>
      </c>
      <c r="I120" s="62"/>
      <c r="J120" s="62"/>
      <c r="K120" s="62"/>
      <c r="L120" s="62"/>
      <c r="M120" s="62"/>
    </row>
    <row r="121" spans="1:13" ht="13.15" customHeight="1">
      <c r="A121" s="61" t="s">
        <v>269</v>
      </c>
      <c r="B121" s="61" t="s">
        <v>270</v>
      </c>
      <c r="C121" s="62">
        <v>363.13</v>
      </c>
      <c r="D121" s="62">
        <v>1160.4000000000001</v>
      </c>
      <c r="E121" s="62">
        <v>1862.61</v>
      </c>
      <c r="F121" s="62">
        <v>1541.22</v>
      </c>
      <c r="G121" s="62">
        <v>825.2</v>
      </c>
      <c r="H121" s="62">
        <v>2071.39</v>
      </c>
      <c r="I121" s="62">
        <v>80.02</v>
      </c>
      <c r="J121" s="62">
        <v>483.69</v>
      </c>
      <c r="K121" s="62">
        <v>483.69</v>
      </c>
      <c r="L121" s="62">
        <v>0</v>
      </c>
      <c r="M121" s="102">
        <v>150</v>
      </c>
    </row>
    <row r="122" spans="1:13" ht="12" customHeight="1">
      <c r="C122" s="65">
        <v>1088.1300000000001</v>
      </c>
      <c r="D122" s="65">
        <v>1160.4000000000001</v>
      </c>
      <c r="E122" s="65">
        <v>1862.61</v>
      </c>
      <c r="F122" s="65">
        <v>4886.6499999999996</v>
      </c>
      <c r="G122" s="65">
        <v>4823.25</v>
      </c>
      <c r="H122" s="65">
        <v>2665.29</v>
      </c>
      <c r="I122" s="65">
        <v>1715.02</v>
      </c>
      <c r="J122" s="65">
        <f>SUM(J118:J121)</f>
        <v>2118.69</v>
      </c>
      <c r="K122" s="65">
        <f>SUM(K118:K121)</f>
        <v>2118.69</v>
      </c>
      <c r="L122" s="65">
        <f>SUM(L118:L121)</f>
        <v>2125</v>
      </c>
      <c r="M122" s="65">
        <f>SUM(M118:M121)</f>
        <v>1785</v>
      </c>
    </row>
    <row r="123" spans="1:13" ht="13.15" customHeight="1">
      <c r="A123" s="130" t="s">
        <v>271</v>
      </c>
      <c r="B123" s="130"/>
    </row>
    <row r="124" spans="1:13" ht="13.15" customHeight="1">
      <c r="A124" s="61" t="s">
        <v>272</v>
      </c>
      <c r="B124" s="61" t="s">
        <v>273</v>
      </c>
      <c r="C124" s="62">
        <v>10960.85</v>
      </c>
      <c r="D124" s="62">
        <v>8179.43</v>
      </c>
      <c r="E124" s="62">
        <v>5915.36</v>
      </c>
      <c r="F124" s="62">
        <v>6962.39</v>
      </c>
      <c r="G124" s="62">
        <v>8566.73</v>
      </c>
      <c r="H124" s="62">
        <v>11605.3</v>
      </c>
      <c r="I124" s="62">
        <v>14826.66</v>
      </c>
      <c r="J124" s="62">
        <v>13377.2</v>
      </c>
      <c r="K124" s="62">
        <v>18495.060000000001</v>
      </c>
      <c r="L124" s="64">
        <f>16000+8000</f>
        <v>24000</v>
      </c>
      <c r="M124" s="64">
        <v>12000</v>
      </c>
    </row>
    <row r="125" spans="1:13" ht="13.15" customHeight="1">
      <c r="A125" s="61" t="s">
        <v>274</v>
      </c>
      <c r="B125" s="61" t="s">
        <v>275</v>
      </c>
      <c r="C125" s="62">
        <v>4289.3999999999996</v>
      </c>
      <c r="D125" s="62">
        <v>3518.92</v>
      </c>
      <c r="E125" s="62">
        <v>3036.62</v>
      </c>
      <c r="F125" s="62">
        <v>3687.86</v>
      </c>
      <c r="G125" s="62">
        <v>5705.58</v>
      </c>
      <c r="H125" s="62">
        <v>5228.5</v>
      </c>
      <c r="I125" s="62">
        <v>7255.64</v>
      </c>
      <c r="J125" s="62">
        <v>4013.09</v>
      </c>
      <c r="K125" s="62">
        <v>5123.26</v>
      </c>
      <c r="L125" s="75">
        <f>'10-8115 telephone'!C15</f>
        <v>5500</v>
      </c>
      <c r="M125" s="116">
        <v>6800</v>
      </c>
    </row>
    <row r="126" spans="1:13" ht="13.15" customHeight="1">
      <c r="A126" s="61" t="s">
        <v>276</v>
      </c>
      <c r="B126" s="61" t="s">
        <v>277</v>
      </c>
      <c r="C126" s="62">
        <v>2234.33</v>
      </c>
      <c r="D126" s="62">
        <v>3304.66</v>
      </c>
      <c r="E126" s="62">
        <v>2334.4</v>
      </c>
      <c r="F126" s="62">
        <v>2681.12</v>
      </c>
      <c r="G126" s="62">
        <v>3624.09</v>
      </c>
      <c r="H126" s="62">
        <v>3913.3</v>
      </c>
      <c r="I126" s="62">
        <v>4904.43</v>
      </c>
      <c r="J126" s="62">
        <v>3750.6</v>
      </c>
      <c r="K126" s="62">
        <v>4062.1</v>
      </c>
      <c r="L126" s="120">
        <f>'10-8190 Equip - copier'!F8</f>
        <v>5000</v>
      </c>
      <c r="M126" s="64">
        <v>4200</v>
      </c>
    </row>
    <row r="127" spans="1:13" ht="13.15" customHeight="1">
      <c r="A127" s="61" t="s">
        <v>278</v>
      </c>
      <c r="B127" s="61" t="s">
        <v>279</v>
      </c>
      <c r="C127" s="62">
        <v>0</v>
      </c>
      <c r="D127" s="62">
        <v>1345.2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33.72</v>
      </c>
      <c r="L127" s="62">
        <v>0</v>
      </c>
      <c r="M127" s="64">
        <v>0</v>
      </c>
    </row>
    <row r="128" spans="1:13" ht="13.15" customHeight="1">
      <c r="A128" s="61" t="s">
        <v>280</v>
      </c>
      <c r="B128" s="61" t="s">
        <v>281</v>
      </c>
      <c r="C128" s="62">
        <v>14798.93</v>
      </c>
      <c r="D128" s="62">
        <v>17576.75</v>
      </c>
      <c r="E128" s="62">
        <v>15736.51</v>
      </c>
      <c r="F128" s="62">
        <v>19967.04</v>
      </c>
      <c r="G128" s="62">
        <v>30528.32</v>
      </c>
      <c r="H128" s="62">
        <v>31482.53</v>
      </c>
      <c r="I128" s="62">
        <v>29103.43</v>
      </c>
      <c r="J128" s="62">
        <v>31386.54</v>
      </c>
      <c r="K128" s="62">
        <v>32029.61</v>
      </c>
      <c r="L128" s="75">
        <f>'10-8300 software'!C21</f>
        <v>34000</v>
      </c>
      <c r="M128" s="116">
        <v>36110</v>
      </c>
    </row>
    <row r="129" spans="1:14" ht="13.15" customHeight="1">
      <c r="A129" s="61" t="s">
        <v>282</v>
      </c>
      <c r="B129" s="61" t="s">
        <v>283</v>
      </c>
      <c r="C129" s="62">
        <v>1019.63</v>
      </c>
      <c r="D129" s="62">
        <v>35</v>
      </c>
      <c r="E129" s="62">
        <v>692.66</v>
      </c>
      <c r="F129" s="62">
        <v>430.26</v>
      </c>
      <c r="G129" s="62">
        <v>57.35</v>
      </c>
      <c r="H129" s="62">
        <v>38</v>
      </c>
      <c r="I129" s="62">
        <v>5497.98</v>
      </c>
      <c r="J129" s="62">
        <v>4135.25</v>
      </c>
      <c r="K129" s="62">
        <v>4135.25</v>
      </c>
      <c r="L129" s="62">
        <v>2050</v>
      </c>
      <c r="M129" s="64">
        <v>10000</v>
      </c>
    </row>
    <row r="130" spans="1:14" ht="13.15" customHeight="1">
      <c r="A130" s="61" t="s">
        <v>284</v>
      </c>
      <c r="B130" s="61" t="s">
        <v>285</v>
      </c>
      <c r="C130" s="62">
        <v>9500</v>
      </c>
      <c r="D130" s="62">
        <v>9600</v>
      </c>
      <c r="E130" s="62">
        <v>9600</v>
      </c>
      <c r="F130" s="62">
        <v>9700</v>
      </c>
      <c r="G130" s="62">
        <v>18058</v>
      </c>
      <c r="H130" s="62">
        <v>18622.21</v>
      </c>
      <c r="I130" s="62">
        <v>19186.62</v>
      </c>
      <c r="J130" s="62">
        <v>19186.52</v>
      </c>
      <c r="K130" s="62">
        <v>19186.52</v>
      </c>
      <c r="L130" s="75">
        <f>'10-8520 Audit'!F13</f>
        <v>20615</v>
      </c>
      <c r="M130" s="116">
        <v>20010</v>
      </c>
    </row>
    <row r="131" spans="1:14" ht="13.15" customHeight="1">
      <c r="A131" s="61" t="s">
        <v>286</v>
      </c>
      <c r="B131" s="61" t="s">
        <v>287</v>
      </c>
      <c r="C131" s="62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/>
      <c r="K131" s="62"/>
      <c r="L131" s="62"/>
      <c r="M131" s="64"/>
    </row>
    <row r="132" spans="1:14" ht="13.15" customHeight="1">
      <c r="A132" s="61" t="s">
        <v>288</v>
      </c>
      <c r="B132" s="61" t="s">
        <v>289</v>
      </c>
      <c r="C132" s="62">
        <v>8605.7199999999993</v>
      </c>
      <c r="D132" s="62">
        <v>12600.23</v>
      </c>
      <c r="E132" s="62">
        <v>1061.42</v>
      </c>
      <c r="F132" s="62">
        <v>4270.33</v>
      </c>
      <c r="G132" s="62">
        <v>5284.19</v>
      </c>
      <c r="H132" s="62">
        <v>11876.69</v>
      </c>
      <c r="I132" s="62">
        <v>8854.33</v>
      </c>
      <c r="J132" s="62">
        <v>7760.92</v>
      </c>
      <c r="K132" s="62">
        <v>9947.01</v>
      </c>
      <c r="L132" s="75">
        <f>'10-7050 Business Dvpt '!H17</f>
        <v>5350</v>
      </c>
      <c r="M132" s="64">
        <v>8500</v>
      </c>
    </row>
    <row r="133" spans="1:14" ht="13.15" customHeight="1">
      <c r="A133" s="61" t="s">
        <v>290</v>
      </c>
      <c r="B133" s="61" t="s">
        <v>291</v>
      </c>
      <c r="C133" s="62">
        <v>2905.7</v>
      </c>
      <c r="D133" s="62">
        <v>2529.46</v>
      </c>
      <c r="E133" s="62">
        <v>163.16</v>
      </c>
      <c r="F133" s="62">
        <v>507.47</v>
      </c>
      <c r="G133" s="62">
        <v>3838.7</v>
      </c>
      <c r="H133" s="62">
        <v>7465.05</v>
      </c>
      <c r="I133" s="62">
        <v>3350.32</v>
      </c>
      <c r="J133" s="62">
        <v>5238.59</v>
      </c>
      <c r="K133" s="62">
        <v>5378.72</v>
      </c>
      <c r="L133" s="62">
        <v>5500</v>
      </c>
      <c r="M133" s="64">
        <v>5000</v>
      </c>
    </row>
    <row r="134" spans="1:14" ht="13.15" customHeight="1">
      <c r="A134" s="61" t="s">
        <v>292</v>
      </c>
      <c r="B134" s="61" t="s">
        <v>293</v>
      </c>
      <c r="C134" s="62">
        <v>319.68</v>
      </c>
      <c r="D134" s="62">
        <v>325.12</v>
      </c>
      <c r="E134" s="62">
        <v>331.63</v>
      </c>
      <c r="F134" s="62">
        <v>989.09</v>
      </c>
      <c r="G134" s="62">
        <v>257.07</v>
      </c>
      <c r="H134" s="62">
        <v>257.07</v>
      </c>
      <c r="I134" s="62">
        <v>265.82</v>
      </c>
      <c r="J134" s="62">
        <v>0</v>
      </c>
      <c r="K134" s="62"/>
      <c r="L134" s="62">
        <v>215</v>
      </c>
      <c r="M134" s="116">
        <v>300</v>
      </c>
    </row>
    <row r="135" spans="1:14" ht="13.15" customHeight="1">
      <c r="A135" s="61" t="s">
        <v>294</v>
      </c>
      <c r="B135" s="61" t="s">
        <v>295</v>
      </c>
      <c r="C135" s="62">
        <v>1277.78</v>
      </c>
      <c r="D135" s="62">
        <v>1589.63</v>
      </c>
      <c r="E135" s="62">
        <v>1684.88</v>
      </c>
      <c r="F135" s="62">
        <v>829.75</v>
      </c>
      <c r="G135" s="62">
        <v>1097.33</v>
      </c>
      <c r="H135" s="62">
        <v>1472.54</v>
      </c>
      <c r="I135" s="62">
        <v>1317.4</v>
      </c>
      <c r="J135" s="62">
        <v>1302.73</v>
      </c>
      <c r="K135" s="62">
        <v>1302.73</v>
      </c>
      <c r="L135" s="62">
        <v>1500</v>
      </c>
      <c r="M135" s="64">
        <v>1500</v>
      </c>
    </row>
    <row r="136" spans="1:14" ht="12" customHeight="1">
      <c r="C136" s="65">
        <v>55912.02</v>
      </c>
      <c r="D136" s="65">
        <v>60604.4</v>
      </c>
      <c r="E136" s="65">
        <v>40556.639999999999</v>
      </c>
      <c r="F136" s="65">
        <v>50025.31</v>
      </c>
      <c r="G136" s="65">
        <v>77017.36</v>
      </c>
      <c r="H136" s="65">
        <v>91961.19</v>
      </c>
      <c r="I136" s="65">
        <v>94562.63</v>
      </c>
      <c r="J136" s="65">
        <f>SUM(J124:J135)</f>
        <v>90151.439999999988</v>
      </c>
      <c r="K136" s="65">
        <f>SUM(K124:K135)</f>
        <v>99693.98</v>
      </c>
      <c r="L136" s="65">
        <f>SUM(L124:L135)</f>
        <v>103730</v>
      </c>
      <c r="M136" s="71">
        <f>SUM(M124:M135)</f>
        <v>104420</v>
      </c>
    </row>
    <row r="137" spans="1:14" ht="13.15" customHeight="1">
      <c r="A137" s="130" t="s">
        <v>296</v>
      </c>
      <c r="B137" s="130"/>
      <c r="M137" s="74"/>
      <c r="N137" s="76" t="s">
        <v>27</v>
      </c>
    </row>
    <row r="138" spans="1:14" ht="13.15" customHeight="1">
      <c r="A138" s="61" t="s">
        <v>297</v>
      </c>
      <c r="B138" s="61" t="s">
        <v>298</v>
      </c>
      <c r="C138" s="62">
        <v>1941.71</v>
      </c>
      <c r="D138" s="62">
        <v>1953.2</v>
      </c>
      <c r="E138" s="62">
        <v>1796.9</v>
      </c>
      <c r="F138" s="62">
        <v>2010.12</v>
      </c>
      <c r="G138" s="62">
        <v>1915.55</v>
      </c>
      <c r="H138" s="62">
        <v>1901.1</v>
      </c>
      <c r="I138" s="62">
        <v>1974.4</v>
      </c>
      <c r="J138" s="62">
        <v>1734</v>
      </c>
      <c r="K138" s="62">
        <v>1734</v>
      </c>
      <c r="L138" s="62">
        <v>2400</v>
      </c>
      <c r="M138" s="64">
        <v>2000</v>
      </c>
    </row>
    <row r="139" spans="1:14" ht="13.15" customHeight="1">
      <c r="A139" s="61" t="s">
        <v>299</v>
      </c>
      <c r="B139" s="61" t="s">
        <v>300</v>
      </c>
      <c r="C139" s="62">
        <v>74.2</v>
      </c>
      <c r="D139" s="62">
        <v>32.5</v>
      </c>
      <c r="E139" s="62">
        <v>0</v>
      </c>
      <c r="F139" s="62">
        <v>0</v>
      </c>
      <c r="G139" s="62">
        <v>0</v>
      </c>
      <c r="H139" s="62">
        <v>0</v>
      </c>
      <c r="I139" s="62">
        <v>34320.949999999997</v>
      </c>
      <c r="J139" s="62">
        <v>46194.98</v>
      </c>
      <c r="K139" s="62">
        <v>46194.98</v>
      </c>
      <c r="L139" s="64">
        <v>93056</v>
      </c>
      <c r="M139" s="64">
        <v>66300</v>
      </c>
    </row>
    <row r="140" spans="1:14" ht="12" customHeight="1">
      <c r="C140" s="65">
        <v>2015.91</v>
      </c>
      <c r="D140" s="65">
        <v>1985.7</v>
      </c>
      <c r="E140" s="65">
        <v>1796.9</v>
      </c>
      <c r="F140" s="65">
        <v>2010.12</v>
      </c>
      <c r="G140" s="65">
        <v>1915.55</v>
      </c>
      <c r="H140" s="65">
        <v>1901.1</v>
      </c>
      <c r="I140" s="65">
        <v>36295.35</v>
      </c>
      <c r="J140" s="65">
        <f>SUM(J138:J139)</f>
        <v>47928.98</v>
      </c>
      <c r="K140" s="65">
        <f>SUM(K138:K139)</f>
        <v>47928.98</v>
      </c>
      <c r="L140" s="65">
        <f>SUM(L138:L139)</f>
        <v>95456</v>
      </c>
      <c r="M140" s="71">
        <f>SUM(M138:M139)</f>
        <v>68300</v>
      </c>
    </row>
    <row r="141" spans="1:14" ht="13.15" customHeight="1">
      <c r="A141" s="130" t="s">
        <v>301</v>
      </c>
      <c r="B141" s="130"/>
    </row>
    <row r="142" spans="1:14" ht="13.15" customHeight="1">
      <c r="A142" s="61" t="s">
        <v>302</v>
      </c>
      <c r="B142" s="61" t="s">
        <v>303</v>
      </c>
      <c r="C142" s="62">
        <v>6500</v>
      </c>
      <c r="D142" s="62">
        <v>10600</v>
      </c>
      <c r="E142" s="62">
        <v>16460</v>
      </c>
      <c r="F142" s="62">
        <v>0</v>
      </c>
      <c r="G142" s="62">
        <v>0</v>
      </c>
      <c r="H142" s="62">
        <v>0</v>
      </c>
      <c r="I142" s="62">
        <v>7117.26</v>
      </c>
      <c r="J142" s="62">
        <v>0</v>
      </c>
      <c r="K142" s="62"/>
      <c r="L142" s="62"/>
      <c r="M142" s="62">
        <v>0</v>
      </c>
    </row>
    <row r="143" spans="1:14" ht="12" customHeight="1">
      <c r="C143" s="65">
        <v>6500</v>
      </c>
      <c r="D143" s="65">
        <v>10600</v>
      </c>
      <c r="E143" s="65">
        <v>16460</v>
      </c>
      <c r="F143" s="65">
        <v>0</v>
      </c>
      <c r="G143" s="65">
        <v>0</v>
      </c>
      <c r="H143" s="65">
        <v>0</v>
      </c>
      <c r="I143" s="65">
        <v>7117.26</v>
      </c>
      <c r="J143" s="65">
        <f>SUM(J142)</f>
        <v>0</v>
      </c>
      <c r="K143" s="65">
        <f>SUM(K142)</f>
        <v>0</v>
      </c>
      <c r="L143" s="65">
        <f>SUM(L142)</f>
        <v>0</v>
      </c>
      <c r="M143" s="65">
        <f>SUM(M142)</f>
        <v>0</v>
      </c>
    </row>
    <row r="144" spans="1:14" ht="13.15" customHeight="1">
      <c r="A144" s="130" t="s">
        <v>304</v>
      </c>
      <c r="B144" s="130"/>
    </row>
    <row r="145" spans="1:14" ht="13.15" customHeight="1">
      <c r="A145" s="61" t="s">
        <v>305</v>
      </c>
      <c r="B145" s="61" t="s">
        <v>306</v>
      </c>
      <c r="C145" s="62">
        <v>2139.27</v>
      </c>
      <c r="D145" s="62">
        <v>1899.77</v>
      </c>
      <c r="E145" s="62">
        <v>1154.8599999999999</v>
      </c>
      <c r="F145" s="62">
        <v>595.48</v>
      </c>
      <c r="G145" s="62">
        <v>0</v>
      </c>
      <c r="H145" s="62">
        <v>0</v>
      </c>
      <c r="I145" s="62">
        <v>0</v>
      </c>
      <c r="J145" s="62">
        <v>0</v>
      </c>
      <c r="K145" s="62"/>
      <c r="L145" s="62"/>
      <c r="M145" s="62">
        <v>0</v>
      </c>
    </row>
    <row r="146" spans="1:14" ht="12" customHeight="1">
      <c r="C146" s="65">
        <v>2139.27</v>
      </c>
      <c r="D146" s="65">
        <v>1899.77</v>
      </c>
      <c r="E146" s="65">
        <v>1154.8599999999999</v>
      </c>
      <c r="F146" s="65">
        <v>595.48</v>
      </c>
      <c r="G146" s="65">
        <v>0</v>
      </c>
      <c r="H146" s="65">
        <v>0</v>
      </c>
      <c r="I146" s="65">
        <v>0</v>
      </c>
      <c r="J146" s="65">
        <f>SUM(J145)</f>
        <v>0</v>
      </c>
      <c r="K146" s="65">
        <f>SUM(K145)</f>
        <v>0</v>
      </c>
      <c r="L146" s="65">
        <f>SUM(L145)</f>
        <v>0</v>
      </c>
      <c r="M146" s="65">
        <v>0</v>
      </c>
    </row>
    <row r="147" spans="1:14" ht="13.35" customHeight="1"/>
    <row r="148" spans="1:14" ht="12.6" customHeight="1">
      <c r="A148" s="129" t="s">
        <v>307</v>
      </c>
      <c r="B148" s="129"/>
      <c r="C148" s="68">
        <v>1061958.68</v>
      </c>
      <c r="D148" s="68">
        <v>1075620.6200000001</v>
      </c>
      <c r="E148" s="68">
        <v>715110.83</v>
      </c>
      <c r="F148" s="68">
        <v>1006628.69</v>
      </c>
      <c r="G148" s="68">
        <v>1302532.76</v>
      </c>
      <c r="H148" s="68">
        <v>1506648.39</v>
      </c>
      <c r="I148" s="68">
        <f>I146+I143+I140+I136+I122+I116+I106+I98+I79</f>
        <v>1788346.1099999999</v>
      </c>
      <c r="J148" s="69">
        <f>J146+J143+J140+J136+J122+J116+J106+J98+J79</f>
        <v>1550331.9099999997</v>
      </c>
      <c r="K148" s="69">
        <f>K146+K143+K140+K136+K122+K116+K106+K98+K79</f>
        <v>1920655.2099999997</v>
      </c>
      <c r="L148" s="69">
        <f>L146+L143+L140+L136+L122+L116+L106+L98+L79</f>
        <v>2216279</v>
      </c>
      <c r="M148" s="69">
        <f>M146+M143+M140+M136+M122+M116+M106+M98+M79</f>
        <v>2055293</v>
      </c>
    </row>
    <row r="149" spans="1:14" ht="13.35" customHeight="1"/>
    <row r="150" spans="1:14" s="73" customFormat="1" ht="12.6" customHeight="1">
      <c r="A150" s="129" t="s">
        <v>308</v>
      </c>
      <c r="B150" s="129"/>
      <c r="C150" s="68">
        <v>1076920.6499999999</v>
      </c>
      <c r="D150" s="68">
        <v>895412.27</v>
      </c>
      <c r="E150" s="68">
        <v>1390659.77</v>
      </c>
      <c r="F150" s="68">
        <v>2820296.67</v>
      </c>
      <c r="G150" s="68">
        <v>977772.72</v>
      </c>
      <c r="H150" s="68">
        <v>2161743.0499999998</v>
      </c>
      <c r="I150" s="68">
        <f>I68-I148</f>
        <v>3230805.48</v>
      </c>
      <c r="J150" s="69">
        <f>J68-J148</f>
        <v>2996989.3300000005</v>
      </c>
      <c r="K150" s="69">
        <f>K68-K148</f>
        <v>5573685.7200000007</v>
      </c>
      <c r="L150" s="69">
        <f>L68-L148</f>
        <v>3222063</v>
      </c>
      <c r="M150" s="69">
        <f>M68-M148</f>
        <v>2539026</v>
      </c>
      <c r="N150" s="77"/>
    </row>
    <row r="151" spans="1:14" ht="13.35" customHeight="1"/>
    <row r="152" spans="1:14" ht="13.35" customHeight="1">
      <c r="A152" s="86"/>
      <c r="B152" s="85" t="s">
        <v>1</v>
      </c>
      <c r="C152" s="82">
        <f>C68-C42</f>
        <v>1510571.2599999998</v>
      </c>
      <c r="D152" s="82">
        <f t="shared" ref="D152:M152" si="3">D68-D42</f>
        <v>1177195.8900000001</v>
      </c>
      <c r="E152" s="82">
        <f t="shared" si="3"/>
        <v>1859595.6</v>
      </c>
      <c r="F152" s="82">
        <f t="shared" si="3"/>
        <v>3569156.27</v>
      </c>
      <c r="G152" s="82">
        <f t="shared" si="3"/>
        <v>1471005.73</v>
      </c>
      <c r="H152" s="82">
        <f t="shared" si="3"/>
        <v>2438626.9799999995</v>
      </c>
      <c r="I152" s="82">
        <f t="shared" ref="I152" si="4">I68-I42</f>
        <v>3196185.71</v>
      </c>
      <c r="J152" s="82">
        <f t="shared" si="3"/>
        <v>2717836.41</v>
      </c>
      <c r="K152" s="82">
        <f t="shared" si="3"/>
        <v>5547558.7400000002</v>
      </c>
      <c r="L152" s="82">
        <f t="shared" ref="L152" si="5">L68-L42</f>
        <v>3236842</v>
      </c>
      <c r="M152" s="82">
        <f t="shared" si="3"/>
        <v>2729319</v>
      </c>
      <c r="N152" s="81"/>
    </row>
    <row r="153" spans="1:14" ht="13.35" customHeight="1">
      <c r="A153" s="86"/>
      <c r="B153" s="85" t="s">
        <v>2</v>
      </c>
      <c r="C153" s="83">
        <f>C42-C98</f>
        <v>428217</v>
      </c>
      <c r="D153" s="83">
        <f t="shared" ref="D153:M153" si="6">D42-D98</f>
        <v>570619</v>
      </c>
      <c r="E153" s="83">
        <f t="shared" si="6"/>
        <v>236030.83000000002</v>
      </c>
      <c r="F153" s="83">
        <f t="shared" si="6"/>
        <v>141854</v>
      </c>
      <c r="G153" s="83">
        <f t="shared" si="6"/>
        <v>452804</v>
      </c>
      <c r="H153" s="83">
        <f t="shared" si="6"/>
        <v>765158</v>
      </c>
      <c r="I153" s="83">
        <f t="shared" ref="I153" si="7">I42-I98</f>
        <v>1122105.1599999999</v>
      </c>
      <c r="J153" s="83">
        <f t="shared" si="6"/>
        <v>1158585.8699999999</v>
      </c>
      <c r="K153" s="83">
        <f t="shared" si="6"/>
        <v>1174838.23</v>
      </c>
      <c r="L153" s="83">
        <f t="shared" ref="L153" si="8">L42-L98</f>
        <v>1492720</v>
      </c>
      <c r="M153" s="83">
        <f t="shared" si="6"/>
        <v>1197400</v>
      </c>
    </row>
    <row r="154" spans="1:14" ht="13.35" customHeight="1">
      <c r="A154" s="86"/>
      <c r="B154" s="85" t="s">
        <v>3</v>
      </c>
      <c r="C154" s="83">
        <f>SUM(C152:C153)</f>
        <v>1938788.2599999998</v>
      </c>
      <c r="D154" s="83">
        <f t="shared" ref="D154:M154" si="9">SUM(D152:D153)</f>
        <v>1747814.8900000001</v>
      </c>
      <c r="E154" s="83">
        <f t="shared" si="9"/>
        <v>2095626.4300000002</v>
      </c>
      <c r="F154" s="83">
        <f t="shared" si="9"/>
        <v>3711010.27</v>
      </c>
      <c r="G154" s="83">
        <f t="shared" si="9"/>
        <v>1923809.73</v>
      </c>
      <c r="H154" s="83">
        <f t="shared" si="9"/>
        <v>3203784.9799999995</v>
      </c>
      <c r="I154" s="83">
        <f t="shared" ref="I154" si="10">SUM(I152:I153)</f>
        <v>4318290.87</v>
      </c>
      <c r="J154" s="83">
        <f t="shared" si="9"/>
        <v>3876422.2800000003</v>
      </c>
      <c r="K154" s="83">
        <f t="shared" si="9"/>
        <v>6722396.9700000007</v>
      </c>
      <c r="L154" s="83">
        <f t="shared" ref="L154" si="11">SUM(L152:L153)</f>
        <v>4729562</v>
      </c>
      <c r="M154" s="83">
        <f t="shared" si="9"/>
        <v>3926719</v>
      </c>
    </row>
    <row r="155" spans="1:14" ht="13.35" customHeight="1">
      <c r="A155" s="86"/>
      <c r="B155" s="85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</row>
    <row r="156" spans="1:14" ht="13.35" customHeight="1">
      <c r="A156" s="86"/>
      <c r="B156" s="85" t="s">
        <v>4</v>
      </c>
      <c r="C156" s="83">
        <f>C148-C98</f>
        <v>861868.67999999993</v>
      </c>
      <c r="D156" s="83">
        <f t="shared" ref="D156:M156" si="12">D148-D98</f>
        <v>852402.62000000011</v>
      </c>
      <c r="E156" s="83">
        <f t="shared" si="12"/>
        <v>704966.83</v>
      </c>
      <c r="F156" s="83">
        <f t="shared" si="12"/>
        <v>890713.69</v>
      </c>
      <c r="G156" s="83">
        <f t="shared" si="12"/>
        <v>946036.76</v>
      </c>
      <c r="H156" s="83">
        <f t="shared" si="12"/>
        <v>1042042.3899999999</v>
      </c>
      <c r="I156" s="83">
        <f t="shared" ref="I156" si="13">I148-I98</f>
        <v>1087485.3899999999</v>
      </c>
      <c r="J156" s="83">
        <f t="shared" si="12"/>
        <v>879432.94999999972</v>
      </c>
      <c r="K156" s="83">
        <f t="shared" si="12"/>
        <v>1148711.2499999998</v>
      </c>
      <c r="L156" s="83">
        <f t="shared" ref="L156" si="14">L148-L98</f>
        <v>1507499</v>
      </c>
      <c r="M156" s="83">
        <f t="shared" si="12"/>
        <v>1387693</v>
      </c>
    </row>
    <row r="157" spans="1:14" ht="13.35" customHeight="1">
      <c r="A157" s="86"/>
      <c r="B157" s="85"/>
      <c r="C157" s="84">
        <f>C156/C154</f>
        <v>0.44453986945433643</v>
      </c>
      <c r="D157" s="84">
        <f t="shared" ref="D157:M157" si="15">D156/D154</f>
        <v>0.48769616558192846</v>
      </c>
      <c r="E157" s="84">
        <f t="shared" si="15"/>
        <v>0.33639909284786024</v>
      </c>
      <c r="F157" s="84">
        <f t="shared" si="15"/>
        <v>0.24001919294068672</v>
      </c>
      <c r="G157" s="84">
        <f t="shared" si="15"/>
        <v>0.49175172848304494</v>
      </c>
      <c r="H157" s="84">
        <f t="shared" si="15"/>
        <v>0.32525353496101356</v>
      </c>
      <c r="I157" s="84">
        <f t="shared" ref="I157" si="16">I156/I154</f>
        <v>0.25183236209375581</v>
      </c>
      <c r="J157" s="84">
        <f t="shared" si="15"/>
        <v>0.2268671693838267</v>
      </c>
      <c r="K157" s="84">
        <f t="shared" si="15"/>
        <v>0.17087822321804952</v>
      </c>
      <c r="L157" s="84">
        <f t="shared" ref="L157" si="17">L156/L154</f>
        <v>0.31873966341914961</v>
      </c>
      <c r="M157" s="84">
        <f t="shared" si="15"/>
        <v>0.35339758205259914</v>
      </c>
    </row>
    <row r="158" spans="1:14" ht="13.35" customHeight="1">
      <c r="A158" s="86"/>
      <c r="B158" s="85" t="s">
        <v>5</v>
      </c>
      <c r="C158" s="83">
        <f>C154-C156</f>
        <v>1076919.5799999998</v>
      </c>
      <c r="D158" s="83">
        <f t="shared" ref="D158:M158" si="18">D154-D156</f>
        <v>895412.27</v>
      </c>
      <c r="E158" s="83">
        <f t="shared" si="18"/>
        <v>1390659.6</v>
      </c>
      <c r="F158" s="83">
        <f t="shared" si="18"/>
        <v>2820296.58</v>
      </c>
      <c r="G158" s="83">
        <f t="shared" si="18"/>
        <v>977772.97</v>
      </c>
      <c r="H158" s="83">
        <f t="shared" si="18"/>
        <v>2161742.59</v>
      </c>
      <c r="I158" s="83">
        <f t="shared" ref="I158" si="19">I154-I156</f>
        <v>3230805.4800000004</v>
      </c>
      <c r="J158" s="83">
        <f t="shared" si="18"/>
        <v>2996989.3300000005</v>
      </c>
      <c r="K158" s="83">
        <f t="shared" si="18"/>
        <v>5573685.7200000007</v>
      </c>
      <c r="L158" s="83">
        <f t="shared" ref="L158" si="20">L154-L156</f>
        <v>3222063</v>
      </c>
      <c r="M158" s="83">
        <f t="shared" si="18"/>
        <v>2539026</v>
      </c>
    </row>
    <row r="159" spans="1:14" ht="13.35" customHeight="1"/>
    <row r="160" spans="1:14" ht="13.35" customHeight="1"/>
    <row r="161" spans="1:13" ht="13.35" customHeight="1"/>
    <row r="162" spans="1:13" ht="13.35" customHeight="1"/>
    <row r="163" spans="1:13" ht="13.35" customHeight="1"/>
    <row r="164" spans="1:13" ht="13.35" customHeight="1"/>
    <row r="165" spans="1:13" ht="13.35" customHeight="1"/>
    <row r="166" spans="1:13" ht="13.35" customHeight="1"/>
    <row r="167" spans="1:13" ht="13.35" customHeight="1"/>
    <row r="168" spans="1:13" ht="13.35" customHeight="1"/>
    <row r="169" spans="1:13" ht="13.35" customHeight="1"/>
    <row r="170" spans="1:13" ht="13.35" customHeight="1"/>
    <row r="171" spans="1:13" ht="7.7" customHeight="1">
      <c r="A171" s="127"/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</row>
    <row r="172" spans="1:13" ht="10.5" customHeight="1">
      <c r="A172" s="131"/>
      <c r="B172" s="131"/>
      <c r="C172" s="132"/>
      <c r="D172" s="132"/>
      <c r="E172" s="132"/>
      <c r="F172" s="132"/>
      <c r="G172" s="132"/>
      <c r="H172" s="133"/>
      <c r="I172" s="133"/>
      <c r="J172" s="133"/>
      <c r="K172" s="133"/>
      <c r="L172" s="133"/>
      <c r="M172" s="133"/>
    </row>
    <row r="173" spans="1:13" ht="13.35" customHeight="1"/>
  </sheetData>
  <mergeCells count="34">
    <mergeCell ref="A171:M171"/>
    <mergeCell ref="A172:B172"/>
    <mergeCell ref="C172:G172"/>
    <mergeCell ref="H172:M172"/>
    <mergeCell ref="A150:B150"/>
    <mergeCell ref="A141:B141"/>
    <mergeCell ref="A144:B144"/>
    <mergeCell ref="A71:B71"/>
    <mergeCell ref="A80:B80"/>
    <mergeCell ref="A100:B100"/>
    <mergeCell ref="A107:B107"/>
    <mergeCell ref="A108:B108"/>
    <mergeCell ref="A148:B148"/>
    <mergeCell ref="A70:B70"/>
    <mergeCell ref="A8:B8"/>
    <mergeCell ref="A19:B19"/>
    <mergeCell ref="A22:B22"/>
    <mergeCell ref="A26:B26"/>
    <mergeCell ref="A43:B43"/>
    <mergeCell ref="A47:B47"/>
    <mergeCell ref="A50:B50"/>
    <mergeCell ref="A54:B54"/>
    <mergeCell ref="A59:B59"/>
    <mergeCell ref="A66:B66"/>
    <mergeCell ref="A68:B68"/>
    <mergeCell ref="A117:B117"/>
    <mergeCell ref="A123:B123"/>
    <mergeCell ref="A137:B137"/>
    <mergeCell ref="A7:B7"/>
    <mergeCell ref="A1:M1"/>
    <mergeCell ref="A2:M2"/>
    <mergeCell ref="A3:M3"/>
    <mergeCell ref="A4:M4"/>
    <mergeCell ref="C5:H5"/>
  </mergeCells>
  <hyperlinks>
    <hyperlink ref="A9" r:id="rId1" xr:uid="{47F0F08C-F38A-4F16-AC87-BB75752D4B9A}"/>
    <hyperlink ref="A11" r:id="rId2" xr:uid="{5BDA87FB-3169-41D7-B682-06E96ACD33A8}"/>
    <hyperlink ref="A12" r:id="rId3" xr:uid="{3059640B-ECA4-40EA-8E3A-C2C0EC3D4FF6}"/>
    <hyperlink ref="A13" r:id="rId4" xr:uid="{4A5644F8-BC25-4EA0-9DFF-487F0E775C10}"/>
    <hyperlink ref="A14" r:id="rId5" xr:uid="{303BC357-2008-47DB-8695-70471C0DDF81}"/>
    <hyperlink ref="A15" r:id="rId6" xr:uid="{030E5EE5-CDED-4C4E-B5AD-BA2DE3BCF51A}"/>
    <hyperlink ref="A16" r:id="rId7" xr:uid="{DF84FD27-1501-42EE-8D8F-2E9F15B41162}"/>
    <hyperlink ref="A17" r:id="rId8" xr:uid="{46E67FD0-E325-4DDB-8B7C-6889979EB49F}"/>
    <hyperlink ref="A20" r:id="rId9" xr:uid="{80091B7B-8633-426E-ACAA-241B5C83C63A}"/>
    <hyperlink ref="A23" r:id="rId10" xr:uid="{98144FA2-E870-4554-AEE1-148C1F7899C6}"/>
    <hyperlink ref="A24" r:id="rId11" xr:uid="{3861D073-B633-497C-B9FA-626DFF48E8B9}"/>
    <hyperlink ref="A41" r:id="rId12" xr:uid="{8C3C7D2B-4480-4301-922A-8AD92813E696}"/>
    <hyperlink ref="A44" r:id="rId13" xr:uid="{33AE74FE-AE8F-484D-BABA-B69C86C40E1B}"/>
    <hyperlink ref="A45" r:id="rId14" xr:uid="{44AB6F5C-C3A6-4026-B343-B75D3147C162}"/>
    <hyperlink ref="A48" r:id="rId15" xr:uid="{BA5E8436-E2AA-4C9C-9738-DC129097605F}"/>
    <hyperlink ref="A51" r:id="rId16" xr:uid="{05587A17-5C9A-463A-87DE-BCD1B1E23B76}"/>
    <hyperlink ref="A52" r:id="rId17" xr:uid="{B4A048C9-B39C-41ED-8641-02794E098458}"/>
    <hyperlink ref="A55" r:id="rId18" xr:uid="{8D2A1B0D-C119-4B66-B770-AA7233E50395}"/>
    <hyperlink ref="A56" r:id="rId19" xr:uid="{25703A65-53A9-49FB-B7F3-917D0446BB4E}"/>
    <hyperlink ref="A60" r:id="rId20" xr:uid="{3C24E000-3C3C-4940-97DA-408648E9C251}"/>
    <hyperlink ref="A61" r:id="rId21" xr:uid="{F6C9BC9E-65DC-47D7-BD43-6007125A308E}"/>
    <hyperlink ref="A62" r:id="rId22" xr:uid="{68EC0F24-A1D5-4D9C-A5CE-EA7605E6C0EA}"/>
    <hyperlink ref="A63" r:id="rId23" xr:uid="{F3BAEAAF-1F08-41BA-AA75-6DBA5A9AB463}"/>
    <hyperlink ref="A64" r:id="rId24" xr:uid="{3C6A097B-8F90-403A-B0EA-451BC5176E9F}"/>
    <hyperlink ref="A65" r:id="rId25" xr:uid="{0F1605FE-4880-43A3-8A41-6563B61E8415}"/>
    <hyperlink ref="A72" r:id="rId26" xr:uid="{75D8CCF5-07FE-464A-8EAE-93373E9D6104}"/>
    <hyperlink ref="A73" r:id="rId27" xr:uid="{FF0770A1-D45B-4E67-B669-6FC3CE11FAC1}"/>
    <hyperlink ref="A74" r:id="rId28" xr:uid="{F0BE82EA-BD77-4A4A-A6D9-8DBE02E676D1}"/>
    <hyperlink ref="A75" r:id="rId29" xr:uid="{4379B382-31BA-419B-8454-39363DB8B049}"/>
    <hyperlink ref="A76" r:id="rId30" xr:uid="{41585080-DD33-424C-9DA1-1213706245F1}"/>
    <hyperlink ref="A77" r:id="rId31" xr:uid="{DB5D0474-C606-41EC-BF0B-ABAEEDB597F9}"/>
    <hyperlink ref="A78" r:id="rId32" xr:uid="{8CD30142-DFC7-4195-802D-DC1FB7376A3B}"/>
    <hyperlink ref="A101" r:id="rId33" xr:uid="{C42BFD8B-7D93-4063-897C-9580A7C9E888}"/>
    <hyperlink ref="A102" r:id="rId34" xr:uid="{3A4B3C05-9DD7-42D2-A2E4-346BCF798D86}"/>
    <hyperlink ref="A103" r:id="rId35" xr:uid="{E01D2E23-C1A6-4CA0-8786-7738C2DB7C6E}"/>
    <hyperlink ref="A104" r:id="rId36" xr:uid="{3B789410-B2F1-4B76-8CD9-972FD988A56C}"/>
    <hyperlink ref="A105" r:id="rId37" xr:uid="{C3865E3A-1E5A-4217-8A60-E844E1844D1A}"/>
    <hyperlink ref="A109" r:id="rId38" xr:uid="{FCC21627-E46D-4594-946C-68EAD6C5B89A}"/>
    <hyperlink ref="A110" r:id="rId39" xr:uid="{5733878C-A981-44BB-8E1A-FBDB69579066}"/>
    <hyperlink ref="A111" r:id="rId40" xr:uid="{7F2B8C32-3D1A-4B0A-A3D2-D981A00F6A09}"/>
    <hyperlink ref="A112" r:id="rId41" xr:uid="{4CB8CA67-CB1E-4A0E-9504-E359577D4E70}"/>
    <hyperlink ref="A113" r:id="rId42" xr:uid="{E14A3C9E-77FE-40A6-89C5-11C02116F718}"/>
    <hyperlink ref="A114" r:id="rId43" xr:uid="{2AA4A96A-A1D8-4C3E-923F-D365517B79B0}"/>
    <hyperlink ref="A115" r:id="rId44" xr:uid="{79009460-3C2A-4E13-A096-814DC28A5010}"/>
    <hyperlink ref="A118" r:id="rId45" xr:uid="{879AEAD5-F21D-4FA5-9E06-E6432EABD739}"/>
    <hyperlink ref="A119" r:id="rId46" xr:uid="{EBCCA9F5-FECC-43D9-B84A-03DBBCA9D4D6}"/>
    <hyperlink ref="A120" r:id="rId47" xr:uid="{8CE6F175-7BB3-4036-9DE6-9659005CAC9D}"/>
    <hyperlink ref="A121" r:id="rId48" xr:uid="{4EAC018B-E005-4FE7-ABFE-33E37ED3D22E}"/>
    <hyperlink ref="A124" r:id="rId49" xr:uid="{E1F614F6-6339-4FC2-9C26-CD9FD66F375C}"/>
    <hyperlink ref="A125" r:id="rId50" xr:uid="{7C056FF4-E3EA-4DE3-B5DA-26896006BE10}"/>
    <hyperlink ref="A126" r:id="rId51" xr:uid="{B502CA0B-7EA5-48E7-9080-6AF61EC2B090}"/>
    <hyperlink ref="A127" r:id="rId52" xr:uid="{B6B835E9-6CBD-4B0C-81B7-461DDC9DA499}"/>
    <hyperlink ref="A128" r:id="rId53" xr:uid="{2553D32D-B04D-4A7E-9F9C-A285DB95260D}"/>
    <hyperlink ref="A129" r:id="rId54" xr:uid="{B9852FC3-BDB9-4BCA-9F8C-7B1A8A7757B2}"/>
    <hyperlink ref="A130" r:id="rId55" xr:uid="{4B6DE8E5-9D3F-4899-BC64-D0F1D67FB146}"/>
    <hyperlink ref="A131" r:id="rId56" xr:uid="{5A99BF85-A9F6-472C-B6EF-CAAE1DE1F5AA}"/>
    <hyperlink ref="A132" r:id="rId57" xr:uid="{A7E3EB6E-A6A7-474B-9541-FF722C7484D6}"/>
    <hyperlink ref="A133" r:id="rId58" xr:uid="{A3088803-9AE1-4D56-9EDF-3873E059A136}"/>
    <hyperlink ref="A134" r:id="rId59" xr:uid="{2DE0D1CC-DFCE-4C02-81E6-16687952C29D}"/>
    <hyperlink ref="A135" r:id="rId60" xr:uid="{7B022F94-E431-44AF-867A-6546150E41DB}"/>
    <hyperlink ref="A138" r:id="rId61" xr:uid="{69BD942B-A903-4074-BE92-C4BC907110F0}"/>
    <hyperlink ref="A139" r:id="rId62" xr:uid="{EE310741-F1C7-43A2-8DE6-B4C8CBBADDF8}"/>
    <hyperlink ref="A142" r:id="rId63" xr:uid="{B263B692-235B-475A-BD40-0079B9BAFF22}"/>
    <hyperlink ref="A145" r:id="rId64" xr:uid="{FEE7F6FC-586A-40F5-A8C6-DC1C3C4494BC}"/>
  </hyperlinks>
  <pageMargins left="0.25" right="0.25" top="0.25" bottom="0.25" header="0.5" footer="0.5"/>
  <pageSetup orientation="landscape" r:id="rId65"/>
  <legacyDrawing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I24"/>
  <sheetViews>
    <sheetView zoomScale="70" zoomScaleNormal="268" workbookViewId="0">
      <selection activeCell="A14" sqref="A14:XFD14"/>
    </sheetView>
  </sheetViews>
  <sheetFormatPr defaultColWidth="9.140625" defaultRowHeight="12.75"/>
  <cols>
    <col min="2" max="2" width="20.5703125" customWidth="1"/>
    <col min="3" max="3" width="12" style="16" bestFit="1" customWidth="1"/>
  </cols>
  <sheetData>
    <row r="2" spans="1:9">
      <c r="A2" s="11" t="s">
        <v>7</v>
      </c>
      <c r="B2" s="11" t="s">
        <v>6</v>
      </c>
      <c r="C2" s="20"/>
      <c r="D2" s="11"/>
      <c r="E2" s="11"/>
      <c r="F2" s="11"/>
      <c r="G2" s="11"/>
      <c r="H2" s="11"/>
      <c r="I2" s="11"/>
    </row>
    <row r="4" spans="1:9">
      <c r="A4" t="s">
        <v>16</v>
      </c>
      <c r="C4" s="26">
        <f>21709.46+6976.88</f>
        <v>28686.34</v>
      </c>
      <c r="E4" s="8" t="s">
        <v>331</v>
      </c>
    </row>
    <row r="5" spans="1:9">
      <c r="A5" t="s">
        <v>309</v>
      </c>
      <c r="C5" s="26">
        <v>1575</v>
      </c>
      <c r="E5" s="8"/>
    </row>
    <row r="6" spans="1:9">
      <c r="A6" t="s">
        <v>8</v>
      </c>
      <c r="C6" s="15">
        <f>47.5+23.64+35.76</f>
        <v>106.9</v>
      </c>
      <c r="E6" t="s">
        <v>310</v>
      </c>
    </row>
    <row r="7" spans="1:9">
      <c r="A7" s="8" t="s">
        <v>34</v>
      </c>
      <c r="C7" s="15">
        <v>1000</v>
      </c>
      <c r="E7" s="8"/>
    </row>
    <row r="8" spans="1:9">
      <c r="A8" s="1" t="s">
        <v>17</v>
      </c>
      <c r="C8" s="15">
        <v>21.5</v>
      </c>
      <c r="D8" s="10" t="s">
        <v>346</v>
      </c>
      <c r="E8" s="8" t="s">
        <v>345</v>
      </c>
    </row>
    <row r="9" spans="1:9">
      <c r="A9" s="8" t="s">
        <v>92</v>
      </c>
      <c r="C9" s="15">
        <v>0</v>
      </c>
      <c r="D9" s="10"/>
      <c r="E9" s="28" t="s">
        <v>93</v>
      </c>
    </row>
    <row r="10" spans="1:9">
      <c r="A10" s="8" t="s">
        <v>89</v>
      </c>
      <c r="C10" s="15">
        <v>685</v>
      </c>
      <c r="D10" s="10" t="s">
        <v>98</v>
      </c>
      <c r="E10" s="28" t="s">
        <v>314</v>
      </c>
    </row>
    <row r="11" spans="1:9">
      <c r="A11" s="8" t="s">
        <v>348</v>
      </c>
      <c r="C11" s="15">
        <v>490</v>
      </c>
      <c r="D11" s="10" t="s">
        <v>94</v>
      </c>
      <c r="E11" s="8"/>
    </row>
    <row r="12" spans="1:9">
      <c r="A12" s="8" t="s">
        <v>90</v>
      </c>
      <c r="C12" s="15">
        <v>0</v>
      </c>
      <c r="D12" s="10"/>
      <c r="E12" s="8"/>
    </row>
    <row r="13" spans="1:9">
      <c r="A13" s="8" t="s">
        <v>91</v>
      </c>
      <c r="C13" s="15">
        <v>278</v>
      </c>
      <c r="D13" s="10" t="s">
        <v>313</v>
      </c>
      <c r="E13" s="8" t="s">
        <v>312</v>
      </c>
    </row>
    <row r="14" spans="1:9">
      <c r="A14" s="8" t="s">
        <v>311</v>
      </c>
      <c r="C14" s="15">
        <v>137</v>
      </c>
      <c r="D14" s="10" t="s">
        <v>353</v>
      </c>
      <c r="E14" s="8"/>
    </row>
    <row r="15" spans="1:9">
      <c r="A15" s="8" t="s">
        <v>315</v>
      </c>
      <c r="C15" s="15">
        <v>145</v>
      </c>
      <c r="D15" s="10" t="s">
        <v>316</v>
      </c>
      <c r="E15" s="8"/>
    </row>
    <row r="16" spans="1:9">
      <c r="A16" s="8" t="s">
        <v>344</v>
      </c>
      <c r="C16" s="15">
        <f>24*12</f>
        <v>288</v>
      </c>
      <c r="D16" s="10"/>
      <c r="E16" s="8" t="s">
        <v>350</v>
      </c>
    </row>
    <row r="17" spans="1:5">
      <c r="A17" s="8" t="s">
        <v>347</v>
      </c>
      <c r="C17" s="15">
        <v>177</v>
      </c>
      <c r="D17" s="10"/>
      <c r="E17" s="8"/>
    </row>
    <row r="18" spans="1:5">
      <c r="A18" s="8" t="s">
        <v>349</v>
      </c>
      <c r="C18" s="15">
        <f>33*12</f>
        <v>396</v>
      </c>
      <c r="D18" s="10"/>
      <c r="E18" s="8"/>
    </row>
    <row r="19" spans="1:5" ht="13.5" thickBot="1">
      <c r="C19" s="18">
        <f>SUM(C4:C18)</f>
        <v>33985.740000000005</v>
      </c>
    </row>
    <row r="20" spans="1:5" ht="13.5" thickTop="1"/>
    <row r="21" spans="1:5" ht="13.5" thickBot="1">
      <c r="B21" t="s">
        <v>30</v>
      </c>
      <c r="C21" s="117">
        <v>34000</v>
      </c>
    </row>
    <row r="22" spans="1:5" ht="13.5" thickTop="1"/>
    <row r="23" spans="1:5">
      <c r="B23" t="s">
        <v>27</v>
      </c>
    </row>
    <row r="24" spans="1:5">
      <c r="A24" s="8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N27"/>
  <sheetViews>
    <sheetView zoomScale="88" workbookViewId="0">
      <selection activeCell="Q56" sqref="Q56"/>
    </sheetView>
  </sheetViews>
  <sheetFormatPr defaultColWidth="9.140625" defaultRowHeight="12.75"/>
  <cols>
    <col min="5" max="5" width="18.85546875" customWidth="1"/>
    <col min="6" max="6" width="11.7109375" style="16" customWidth="1"/>
  </cols>
  <sheetData>
    <row r="1" spans="1:14">
      <c r="A1" s="11" t="s">
        <v>328</v>
      </c>
      <c r="B1" s="11"/>
      <c r="C1" s="11"/>
      <c r="D1" s="11"/>
      <c r="E1" s="11"/>
      <c r="F1" s="20"/>
    </row>
    <row r="3" spans="1:14">
      <c r="F3" s="16" t="s">
        <v>343</v>
      </c>
      <c r="H3" s="14"/>
      <c r="I3" s="14"/>
      <c r="J3" s="14"/>
    </row>
    <row r="4" spans="1:14">
      <c r="A4" s="11" t="s">
        <v>13</v>
      </c>
      <c r="B4" s="11" t="s">
        <v>14</v>
      </c>
      <c r="D4" s="3"/>
      <c r="E4" s="4"/>
      <c r="F4" s="19">
        <v>18265</v>
      </c>
      <c r="G4" s="4"/>
      <c r="H4" s="23"/>
      <c r="I4" s="23"/>
      <c r="J4" s="23"/>
      <c r="K4" s="14"/>
      <c r="L4" s="14"/>
      <c r="M4" s="14"/>
      <c r="N4" s="14"/>
    </row>
    <row r="5" spans="1:14">
      <c r="E5" s="4"/>
      <c r="F5" s="19">
        <f>F4*5%</f>
        <v>913.25</v>
      </c>
      <c r="G5" s="8"/>
      <c r="H5" s="14"/>
      <c r="I5" s="14"/>
      <c r="J5" s="14"/>
      <c r="K5" s="14"/>
      <c r="L5" s="14"/>
      <c r="M5" s="14"/>
      <c r="N5" s="14"/>
    </row>
    <row r="6" spans="1:14">
      <c r="E6" s="4"/>
      <c r="F6" s="22">
        <f>SUM(F4:F5)</f>
        <v>19178.25</v>
      </c>
      <c r="G6" s="8"/>
      <c r="H6" s="14"/>
      <c r="I6" s="14"/>
      <c r="J6" s="14"/>
      <c r="K6" s="14"/>
      <c r="L6" s="14"/>
      <c r="M6" s="14"/>
      <c r="N6" s="14"/>
    </row>
    <row r="7" spans="1:14">
      <c r="E7" s="4" t="s">
        <v>31</v>
      </c>
      <c r="F7" s="19">
        <f>F6*5%</f>
        <v>958.91250000000002</v>
      </c>
      <c r="G7" s="8"/>
    </row>
    <row r="8" spans="1:14">
      <c r="E8" s="4" t="s">
        <v>32</v>
      </c>
      <c r="F8" s="19">
        <f>F6*9.975%</f>
        <v>1913.0304374999998</v>
      </c>
      <c r="G8" s="8"/>
    </row>
    <row r="9" spans="1:14">
      <c r="E9" s="4"/>
      <c r="F9" s="22">
        <f>SUM(F6:F8)</f>
        <v>22050.1929375</v>
      </c>
      <c r="G9" s="8"/>
    </row>
    <row r="10" spans="1:14">
      <c r="E10" s="24" t="s">
        <v>33</v>
      </c>
      <c r="F10" s="19">
        <f>-(F7+F8)/2</f>
        <v>-1435.97146875</v>
      </c>
      <c r="G10" s="8"/>
    </row>
    <row r="11" spans="1:14" ht="13.5" thickBot="1">
      <c r="E11" s="4"/>
      <c r="F11" s="17">
        <f>SUM(F9:F10)</f>
        <v>20614.221468750002</v>
      </c>
      <c r="G11" s="8"/>
    </row>
    <row r="12" spans="1:14" ht="13.5" thickTop="1">
      <c r="E12" s="4"/>
      <c r="F12" s="19"/>
      <c r="G12" s="8"/>
    </row>
    <row r="13" spans="1:14" ht="13.5" thickBot="1">
      <c r="E13" s="4" t="s">
        <v>342</v>
      </c>
      <c r="F13" s="25">
        <v>20615</v>
      </c>
      <c r="G13" s="8"/>
    </row>
    <row r="14" spans="1:14" ht="13.5" thickTop="1">
      <c r="E14" s="4"/>
      <c r="F14" s="19"/>
      <c r="G14" s="8"/>
    </row>
    <row r="15" spans="1:14">
      <c r="A15" s="4"/>
      <c r="B15" s="4"/>
      <c r="C15" s="4"/>
      <c r="D15" s="4"/>
      <c r="E15" s="4"/>
      <c r="F15" s="19"/>
    </row>
    <row r="16" spans="1:14" s="4" customFormat="1">
      <c r="A16" s="23"/>
      <c r="B16" s="23"/>
      <c r="C16" s="23"/>
      <c r="D16" s="3"/>
      <c r="E16" s="101"/>
      <c r="F16" s="109"/>
      <c r="G16" s="23"/>
      <c r="H16" s="23"/>
    </row>
    <row r="17" spans="1:6" s="4" customFormat="1">
      <c r="F17" s="19"/>
    </row>
    <row r="18" spans="1:6" s="4" customFormat="1">
      <c r="F18" s="19"/>
    </row>
    <row r="19" spans="1:6" s="4" customFormat="1">
      <c r="F19" s="19"/>
    </row>
    <row r="20" spans="1:6" s="4" customFormat="1">
      <c r="F20" s="19"/>
    </row>
    <row r="21" spans="1:6" s="4" customFormat="1">
      <c r="F21" s="19"/>
    </row>
    <row r="22" spans="1:6">
      <c r="A22" s="4"/>
      <c r="B22" s="4"/>
      <c r="C22" s="4"/>
      <c r="D22" s="4"/>
      <c r="E22" s="4"/>
      <c r="F22" s="19"/>
    </row>
    <row r="23" spans="1:6">
      <c r="A23" s="4"/>
      <c r="B23" s="4"/>
      <c r="C23" s="4"/>
      <c r="D23" s="4"/>
      <c r="E23" s="4"/>
      <c r="F23" s="19"/>
    </row>
    <row r="24" spans="1:6">
      <c r="A24" s="4"/>
      <c r="B24" s="4"/>
      <c r="C24" s="4"/>
      <c r="D24" s="4"/>
      <c r="E24" s="4"/>
      <c r="F24" s="19"/>
    </row>
    <row r="25" spans="1:6">
      <c r="A25" s="4"/>
      <c r="B25" s="4"/>
      <c r="C25" s="4"/>
      <c r="D25" s="4"/>
      <c r="E25" s="4"/>
      <c r="F25" s="19"/>
    </row>
    <row r="26" spans="1:6">
      <c r="A26" s="4"/>
      <c r="B26" s="4"/>
      <c r="C26" s="4"/>
      <c r="D26" s="4"/>
      <c r="E26" s="4"/>
      <c r="F26" s="19"/>
    </row>
    <row r="27" spans="1:6">
      <c r="A27" s="4"/>
      <c r="B27" s="4"/>
      <c r="C27" s="4"/>
      <c r="D27" s="4"/>
      <c r="E27" s="4"/>
      <c r="F27" s="1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C3B8-1000-42C7-BCB1-B19C0D56C933}">
  <sheetPr>
    <tabColor rgb="FF00B0F0"/>
  </sheetPr>
  <dimension ref="A3:I17"/>
  <sheetViews>
    <sheetView topLeftCell="A2" workbookViewId="0">
      <selection activeCell="K58" sqref="K58"/>
    </sheetView>
  </sheetViews>
  <sheetFormatPr defaultRowHeight="12.75"/>
  <cols>
    <col min="6" max="6" width="14.85546875" style="2" customWidth="1"/>
  </cols>
  <sheetData>
    <row r="3" spans="1:9">
      <c r="A3" s="104" t="s">
        <v>329</v>
      </c>
    </row>
    <row r="5" spans="1:9">
      <c r="A5" t="s">
        <v>339</v>
      </c>
      <c r="F5" s="2">
        <v>54000</v>
      </c>
      <c r="I5" t="s">
        <v>341</v>
      </c>
    </row>
    <row r="7" spans="1:9">
      <c r="F7" s="103">
        <f>SUM(F5:F6)</f>
        <v>54000</v>
      </c>
    </row>
    <row r="10" spans="1:9">
      <c r="A10" s="104" t="s">
        <v>330</v>
      </c>
    </row>
    <row r="12" spans="1:9">
      <c r="A12" t="s">
        <v>370</v>
      </c>
      <c r="F12" s="119">
        <v>384154</v>
      </c>
      <c r="I12" t="s">
        <v>340</v>
      </c>
    </row>
    <row r="13" spans="1:9">
      <c r="A13" t="s">
        <v>371</v>
      </c>
      <c r="F13" s="119"/>
    </row>
    <row r="14" spans="1:9">
      <c r="F14" s="103">
        <f>SUM(F12:F13)</f>
        <v>384154</v>
      </c>
    </row>
    <row r="16" spans="1:9" ht="13.5" thickBot="1">
      <c r="A16" s="104" t="s">
        <v>3</v>
      </c>
      <c r="F16" s="105">
        <f>F14+F7</f>
        <v>438154</v>
      </c>
    </row>
    <row r="17" ht="13.5" thickTop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E841-DC60-4FDE-BC7F-64A6B04E245E}">
  <sheetPr>
    <tabColor rgb="FF00B0F0"/>
  </sheetPr>
  <dimension ref="A1:H44"/>
  <sheetViews>
    <sheetView topLeftCell="A8" zoomScale="84" zoomScaleNormal="196" workbookViewId="0">
      <selection activeCell="A42" sqref="A42"/>
    </sheetView>
  </sheetViews>
  <sheetFormatPr defaultRowHeight="12.75"/>
  <cols>
    <col min="1" max="1" width="14.7109375" customWidth="1"/>
  </cols>
  <sheetData>
    <row r="1" spans="1:8">
      <c r="A1" s="11" t="s">
        <v>51</v>
      </c>
      <c r="B1" s="11"/>
      <c r="C1" s="11"/>
    </row>
    <row r="3" spans="1:8">
      <c r="A3" s="11" t="s">
        <v>52</v>
      </c>
      <c r="B3" s="11"/>
      <c r="C3" s="11"/>
      <c r="E3" s="48" t="s">
        <v>84</v>
      </c>
    </row>
    <row r="5" spans="1:8">
      <c r="A5">
        <v>1</v>
      </c>
      <c r="B5">
        <v>10000</v>
      </c>
    </row>
    <row r="6" spans="1:8">
      <c r="A6">
        <v>2</v>
      </c>
      <c r="B6">
        <v>10000</v>
      </c>
    </row>
    <row r="7" spans="1:8">
      <c r="A7">
        <v>3</v>
      </c>
      <c r="B7">
        <v>10000</v>
      </c>
    </row>
    <row r="8" spans="1:8">
      <c r="A8">
        <v>4</v>
      </c>
      <c r="B8">
        <v>10000</v>
      </c>
    </row>
    <row r="9" spans="1:8" ht="13.5" thickBot="1">
      <c r="B9" s="50">
        <f>SUM(B5:B8)</f>
        <v>40000</v>
      </c>
    </row>
    <row r="10" spans="1:8" ht="13.5" thickTop="1"/>
    <row r="11" spans="1:8">
      <c r="B11" s="51"/>
    </row>
    <row r="14" spans="1:8">
      <c r="A14" s="11" t="s">
        <v>53</v>
      </c>
      <c r="B14" s="11"/>
      <c r="C14" s="11"/>
      <c r="E14" s="48"/>
      <c r="F14" s="48"/>
      <c r="G14" s="48"/>
      <c r="H14" s="48"/>
    </row>
    <row r="16" spans="1:8">
      <c r="A16">
        <v>1</v>
      </c>
      <c r="B16">
        <v>9500</v>
      </c>
      <c r="C16" t="s">
        <v>85</v>
      </c>
    </row>
    <row r="17" spans="1:4">
      <c r="A17">
        <v>2</v>
      </c>
      <c r="B17">
        <v>3800</v>
      </c>
      <c r="C17" t="s">
        <v>86</v>
      </c>
    </row>
    <row r="18" spans="1:4">
      <c r="A18">
        <v>3</v>
      </c>
      <c r="B18">
        <v>8500</v>
      </c>
      <c r="C18" t="s">
        <v>87</v>
      </c>
    </row>
    <row r="19" spans="1:4">
      <c r="A19" t="s">
        <v>54</v>
      </c>
      <c r="B19" s="38">
        <f>SUM(B16:B18)</f>
        <v>21800</v>
      </c>
    </row>
    <row r="21" spans="1:4">
      <c r="A21" t="s">
        <v>55</v>
      </c>
      <c r="B21" s="38">
        <v>10200</v>
      </c>
      <c r="D21" t="s">
        <v>59</v>
      </c>
    </row>
    <row r="23" spans="1:4" ht="13.5" thickBot="1">
      <c r="A23" t="s">
        <v>56</v>
      </c>
      <c r="B23" s="47">
        <f>SUM(B19:B22)</f>
        <v>32000</v>
      </c>
    </row>
    <row r="24" spans="1:4" ht="13.5" thickTop="1"/>
    <row r="27" spans="1:4">
      <c r="A27" t="s">
        <v>58</v>
      </c>
    </row>
    <row r="28" spans="1:4">
      <c r="A28" t="s">
        <v>57</v>
      </c>
    </row>
    <row r="31" spans="1:4">
      <c r="A31" s="11" t="s">
        <v>60</v>
      </c>
      <c r="B31" s="11"/>
      <c r="C31" s="11"/>
    </row>
    <row r="33" spans="1:3">
      <c r="B33" s="110">
        <f>200*4</f>
        <v>800</v>
      </c>
      <c r="C33" t="s">
        <v>61</v>
      </c>
    </row>
    <row r="34" spans="1:3">
      <c r="B34" s="110">
        <v>6450</v>
      </c>
      <c r="C34" t="s">
        <v>82</v>
      </c>
    </row>
    <row r="35" spans="1:3">
      <c r="B35" s="110">
        <v>930</v>
      </c>
      <c r="C35" t="s">
        <v>63</v>
      </c>
    </row>
    <row r="36" spans="1:3">
      <c r="B36">
        <v>2000</v>
      </c>
      <c r="C36" t="s">
        <v>62</v>
      </c>
    </row>
    <row r="37" spans="1:3">
      <c r="B37">
        <v>100</v>
      </c>
      <c r="C37" t="s">
        <v>361</v>
      </c>
    </row>
    <row r="38" spans="1:3">
      <c r="B38">
        <v>250</v>
      </c>
      <c r="C38" t="s">
        <v>83</v>
      </c>
    </row>
    <row r="39" spans="1:3">
      <c r="B39" s="110">
        <v>1395</v>
      </c>
      <c r="C39" t="s">
        <v>362</v>
      </c>
    </row>
    <row r="40" spans="1:3" ht="13.5" thickBot="1">
      <c r="B40" s="47">
        <f>SUM(B33:B38)</f>
        <v>10530</v>
      </c>
    </row>
    <row r="41" spans="1:3" ht="13.5" thickTop="1"/>
    <row r="42" spans="1:3">
      <c r="A42" t="s">
        <v>30</v>
      </c>
      <c r="B42">
        <v>10500</v>
      </c>
    </row>
    <row r="44" spans="1:3">
      <c r="B44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S16"/>
  <sheetViews>
    <sheetView zoomScale="85" zoomScaleNormal="196" workbookViewId="0">
      <selection activeCell="F7" sqref="F7"/>
    </sheetView>
  </sheetViews>
  <sheetFormatPr defaultColWidth="9.140625" defaultRowHeight="12.75"/>
  <cols>
    <col min="6" max="6" width="16.5703125" style="16" customWidth="1"/>
    <col min="7" max="7" width="11" style="2" bestFit="1" customWidth="1"/>
    <col min="11" max="11" width="2.42578125" customWidth="1"/>
    <col min="12" max="12" width="11.140625" customWidth="1"/>
    <col min="16" max="16" width="10.7109375" customWidth="1"/>
    <col min="19" max="19" width="10.85546875" customWidth="1"/>
  </cols>
  <sheetData>
    <row r="1" spans="1:19">
      <c r="A1" s="13" t="s">
        <v>22</v>
      </c>
      <c r="B1" s="11"/>
      <c r="C1" s="11"/>
      <c r="D1" s="11"/>
      <c r="E1" s="11"/>
      <c r="F1" s="20"/>
      <c r="G1" s="12"/>
      <c r="H1" s="11"/>
      <c r="I1" s="11"/>
      <c r="J1" s="11"/>
    </row>
    <row r="3" spans="1:19">
      <c r="A3" s="1" t="s">
        <v>15</v>
      </c>
      <c r="F3" s="15"/>
      <c r="H3" s="8"/>
      <c r="L3" s="2"/>
      <c r="Q3" s="4"/>
      <c r="R3" s="4"/>
      <c r="S3" s="5"/>
    </row>
    <row r="4" spans="1:19">
      <c r="A4" s="1"/>
      <c r="B4" t="s">
        <v>317</v>
      </c>
      <c r="F4" s="15">
        <v>8000</v>
      </c>
      <c r="H4" s="8"/>
      <c r="L4" s="2"/>
      <c r="Q4" s="4"/>
      <c r="R4" s="4"/>
      <c r="S4" s="5"/>
    </row>
    <row r="5" spans="1:19">
      <c r="B5" t="s">
        <v>322</v>
      </c>
      <c r="F5" s="16">
        <v>500</v>
      </c>
      <c r="H5" s="8"/>
      <c r="L5" s="2"/>
      <c r="S5" s="2"/>
    </row>
    <row r="6" spans="1:19">
      <c r="B6" s="8" t="s">
        <v>323</v>
      </c>
      <c r="F6" s="16">
        <v>4000</v>
      </c>
      <c r="G6" s="9"/>
      <c r="H6" s="8" t="s">
        <v>21</v>
      </c>
      <c r="L6" s="2"/>
    </row>
    <row r="7" spans="1:19">
      <c r="B7" s="8" t="s">
        <v>320</v>
      </c>
      <c r="F7" s="16">
        <v>8000</v>
      </c>
      <c r="G7" s="9"/>
      <c r="H7" s="8" t="s">
        <v>47</v>
      </c>
      <c r="L7" s="2"/>
    </row>
    <row r="8" spans="1:19">
      <c r="B8" s="8"/>
      <c r="G8" s="9"/>
      <c r="H8" s="8"/>
      <c r="L8" s="2"/>
    </row>
    <row r="9" spans="1:19" ht="13.5" thickBot="1">
      <c r="F9" s="52">
        <f>SUM(F3:F8)</f>
        <v>20500</v>
      </c>
      <c r="L9" s="5"/>
    </row>
    <row r="10" spans="1:19" ht="13.5" thickTop="1"/>
    <row r="11" spans="1:19">
      <c r="A11" s="8" t="s">
        <v>20</v>
      </c>
    </row>
    <row r="12" spans="1:19">
      <c r="A12" s="8"/>
    </row>
    <row r="13" spans="1:19">
      <c r="A13" s="8" t="s">
        <v>48</v>
      </c>
      <c r="B13" s="6"/>
      <c r="C13" s="6"/>
      <c r="D13" s="6"/>
      <c r="E13" s="6"/>
      <c r="F13" s="21" t="s">
        <v>324</v>
      </c>
      <c r="G13" s="7"/>
      <c r="H13" s="6"/>
      <c r="I13" s="6"/>
      <c r="J13" s="6"/>
    </row>
    <row r="14" spans="1:19">
      <c r="B14" s="6"/>
      <c r="C14" s="6"/>
      <c r="D14" s="6"/>
      <c r="E14" s="6"/>
      <c r="F14" s="21"/>
      <c r="G14" s="7"/>
      <c r="H14" s="6"/>
      <c r="I14" s="6"/>
      <c r="J14" s="6"/>
    </row>
    <row r="15" spans="1:19">
      <c r="A15" s="8" t="s">
        <v>49</v>
      </c>
      <c r="B15" s="6"/>
      <c r="C15" s="6"/>
      <c r="D15" s="6"/>
      <c r="E15" s="6"/>
      <c r="F15" s="21" t="s">
        <v>325</v>
      </c>
      <c r="G15" s="7"/>
      <c r="H15" s="6"/>
      <c r="I15" s="6"/>
      <c r="J15" s="6"/>
    </row>
    <row r="16" spans="1:19">
      <c r="B16" s="6"/>
      <c r="C16" s="6"/>
      <c r="D16" s="6"/>
      <c r="E16" s="6"/>
      <c r="F16" s="21"/>
      <c r="G16" s="7"/>
      <c r="H16" s="6"/>
      <c r="I16" s="6"/>
      <c r="J16" s="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9671-5A0D-499D-808E-E80730445A5E}">
  <sheetPr>
    <tabColor rgb="FF00B0F0"/>
  </sheetPr>
  <dimension ref="A1:D20"/>
  <sheetViews>
    <sheetView topLeftCell="A12" zoomScale="53" zoomScaleNormal="190" workbookViewId="0">
      <selection activeCell="D16" sqref="D16"/>
    </sheetView>
  </sheetViews>
  <sheetFormatPr defaultColWidth="8.85546875" defaultRowHeight="15"/>
  <cols>
    <col min="1" max="1" width="8.85546875" style="29"/>
    <col min="2" max="2" width="29.140625" style="29" bestFit="1" customWidth="1"/>
    <col min="3" max="3" width="19.85546875" style="87" customWidth="1"/>
    <col min="4" max="4" width="44.5703125" style="29" customWidth="1"/>
    <col min="5" max="16384" width="8.85546875" style="29"/>
  </cols>
  <sheetData>
    <row r="1" spans="1:4">
      <c r="A1" s="30" t="s">
        <v>46</v>
      </c>
    </row>
    <row r="3" spans="1:4" ht="24" customHeight="1">
      <c r="A3" s="134" t="s">
        <v>355</v>
      </c>
      <c r="B3" s="134"/>
      <c r="C3" s="134"/>
      <c r="D3" s="134"/>
    </row>
    <row r="4" spans="1:4" ht="60" customHeight="1">
      <c r="A4" s="39" t="s">
        <v>39</v>
      </c>
      <c r="B4" s="135" t="s">
        <v>71</v>
      </c>
      <c r="C4" s="136"/>
      <c r="D4" s="137"/>
    </row>
    <row r="5" spans="1:4" ht="60" customHeight="1">
      <c r="A5" s="40">
        <v>1</v>
      </c>
      <c r="B5" s="40" t="s">
        <v>72</v>
      </c>
      <c r="C5" s="88">
        <v>5822</v>
      </c>
      <c r="D5" s="41" t="s">
        <v>73</v>
      </c>
    </row>
    <row r="6" spans="1:4" ht="60" customHeight="1">
      <c r="A6" s="39">
        <v>2</v>
      </c>
      <c r="B6" s="39" t="s">
        <v>74</v>
      </c>
      <c r="C6" s="89">
        <v>1000</v>
      </c>
      <c r="D6" s="42" t="s">
        <v>79</v>
      </c>
    </row>
    <row r="7" spans="1:4" ht="60" customHeight="1">
      <c r="A7" s="39">
        <v>3</v>
      </c>
      <c r="B7" s="39" t="s">
        <v>75</v>
      </c>
      <c r="C7" s="89">
        <v>6000</v>
      </c>
      <c r="D7" s="43" t="s">
        <v>97</v>
      </c>
    </row>
    <row r="8" spans="1:4" ht="60" customHeight="1">
      <c r="A8" s="39">
        <v>4</v>
      </c>
      <c r="B8" s="39" t="s">
        <v>40</v>
      </c>
      <c r="C8" s="89">
        <v>1400</v>
      </c>
      <c r="D8" s="43" t="s">
        <v>41</v>
      </c>
    </row>
    <row r="9" spans="1:4" ht="60" customHeight="1">
      <c r="A9" s="39">
        <v>5</v>
      </c>
      <c r="B9" s="39" t="s">
        <v>42</v>
      </c>
      <c r="C9" s="89">
        <v>125</v>
      </c>
      <c r="D9" s="39"/>
    </row>
    <row r="10" spans="1:4" ht="60" customHeight="1">
      <c r="A10" s="39">
        <v>6</v>
      </c>
      <c r="B10" s="39" t="s">
        <v>43</v>
      </c>
      <c r="C10" s="90">
        <v>0</v>
      </c>
      <c r="D10" s="43" t="s">
        <v>359</v>
      </c>
    </row>
    <row r="11" spans="1:4" ht="60" customHeight="1">
      <c r="A11" s="40">
        <v>7</v>
      </c>
      <c r="B11" s="40" t="s">
        <v>358</v>
      </c>
      <c r="C11" s="91">
        <v>60000</v>
      </c>
      <c r="D11" s="41" t="s">
        <v>357</v>
      </c>
    </row>
    <row r="12" spans="1:4" ht="60" customHeight="1">
      <c r="A12" s="39">
        <v>8</v>
      </c>
      <c r="B12" s="39" t="s">
        <v>45</v>
      </c>
      <c r="C12" s="89">
        <v>310</v>
      </c>
      <c r="D12" s="39" t="s">
        <v>80</v>
      </c>
    </row>
    <row r="13" spans="1:4" ht="60" customHeight="1">
      <c r="A13" s="39">
        <v>9</v>
      </c>
      <c r="B13" s="39" t="s">
        <v>76</v>
      </c>
      <c r="C13" s="89">
        <v>2100</v>
      </c>
      <c r="D13" s="43" t="s">
        <v>77</v>
      </c>
    </row>
    <row r="14" spans="1:4" ht="60" customHeight="1">
      <c r="A14" s="39">
        <v>10</v>
      </c>
      <c r="B14" s="39" t="s">
        <v>326</v>
      </c>
      <c r="C14" s="89">
        <v>40000</v>
      </c>
      <c r="D14" s="43"/>
    </row>
    <row r="15" spans="1:4" ht="60" customHeight="1">
      <c r="A15" s="39">
        <v>11</v>
      </c>
      <c r="B15" s="39" t="s">
        <v>356</v>
      </c>
      <c r="C15" s="89">
        <v>20000</v>
      </c>
      <c r="D15" s="43"/>
    </row>
    <row r="16" spans="1:4" ht="60" customHeight="1">
      <c r="A16" s="39"/>
      <c r="B16" s="44" t="s">
        <v>78</v>
      </c>
      <c r="C16" s="45">
        <f>SUM(C5:C15)</f>
        <v>136757</v>
      </c>
      <c r="D16" s="39"/>
    </row>
    <row r="19" spans="2:4">
      <c r="B19" s="114" t="s">
        <v>30</v>
      </c>
      <c r="C19" s="87">
        <v>140000</v>
      </c>
    </row>
    <row r="20" spans="2:4" s="36" customFormat="1">
      <c r="C20" s="112"/>
      <c r="D20" s="113"/>
    </row>
  </sheetData>
  <mergeCells count="2">
    <mergeCell ref="A3:D3"/>
    <mergeCell ref="B4:D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718F-B733-4F44-8B72-60CEDFB5FD0D}">
  <sheetPr>
    <tabColor rgb="FF00B0F0"/>
  </sheetPr>
  <dimension ref="A1:I11"/>
  <sheetViews>
    <sheetView topLeftCell="B1" zoomScaleNormal="100" workbookViewId="0">
      <selection activeCell="C10" sqref="C10"/>
    </sheetView>
  </sheetViews>
  <sheetFormatPr defaultColWidth="8.85546875" defaultRowHeight="15"/>
  <cols>
    <col min="1" max="1" width="8.85546875" style="29"/>
    <col min="2" max="2" width="29.140625" style="29" bestFit="1" customWidth="1"/>
    <col min="3" max="3" width="19.85546875" style="31" customWidth="1"/>
    <col min="4" max="4" width="44.5703125" style="29" customWidth="1"/>
    <col min="5" max="16384" width="8.85546875" style="29"/>
  </cols>
  <sheetData>
    <row r="1" spans="1:9">
      <c r="A1" s="32" t="s">
        <v>50</v>
      </c>
      <c r="B1" s="33"/>
      <c r="C1" s="34"/>
      <c r="D1" s="33"/>
    </row>
    <row r="3" spans="1:9">
      <c r="A3" s="46"/>
    </row>
    <row r="5" spans="1:9">
      <c r="A5" s="92"/>
      <c r="B5" s="92"/>
      <c r="C5" s="93"/>
      <c r="D5" s="92"/>
    </row>
    <row r="6" spans="1:9" ht="15.75" thickBot="1">
      <c r="A6" s="92"/>
      <c r="B6" s="94" t="s">
        <v>327</v>
      </c>
      <c r="C6" s="100">
        <v>20000</v>
      </c>
      <c r="D6" s="95"/>
    </row>
    <row r="7" spans="1:9">
      <c r="A7" s="92"/>
      <c r="B7" s="92"/>
      <c r="C7" s="93"/>
      <c r="D7" s="92"/>
    </row>
    <row r="8" spans="1:9">
      <c r="C8" s="111" t="s">
        <v>354</v>
      </c>
    </row>
    <row r="10" spans="1:9">
      <c r="A10" s="96"/>
      <c r="B10" s="96" t="s">
        <v>43</v>
      </c>
      <c r="C10" s="97" t="s">
        <v>321</v>
      </c>
      <c r="D10" s="98"/>
    </row>
    <row r="11" spans="1:9">
      <c r="A11" s="96"/>
      <c r="B11" s="96" t="s">
        <v>44</v>
      </c>
      <c r="C11" s="97" t="s">
        <v>321</v>
      </c>
      <c r="D11" s="99"/>
      <c r="G11" s="35"/>
      <c r="H11" s="36"/>
      <c r="I11" s="36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2:P38"/>
  <sheetViews>
    <sheetView zoomScale="66" zoomScaleNormal="226" workbookViewId="0">
      <selection activeCell="H23" sqref="H23"/>
    </sheetView>
  </sheetViews>
  <sheetFormatPr defaultColWidth="9.140625" defaultRowHeight="12.75"/>
  <cols>
    <col min="1" max="1" width="9.140625" customWidth="1"/>
    <col min="8" max="8" width="14.85546875" style="16" customWidth="1"/>
    <col min="9" max="9" width="3.140625" customWidth="1"/>
    <col min="10" max="10" width="18.5703125" customWidth="1"/>
    <col min="14" max="14" width="16.42578125" customWidth="1"/>
  </cols>
  <sheetData>
    <row r="2" spans="1:16">
      <c r="A2" s="11" t="s">
        <v>9</v>
      </c>
      <c r="B2" s="11" t="s">
        <v>10</v>
      </c>
      <c r="C2" s="11"/>
      <c r="D2" s="11"/>
      <c r="E2" s="11"/>
      <c r="F2" s="11"/>
      <c r="G2" s="11"/>
      <c r="H2" s="20"/>
      <c r="I2" s="11"/>
      <c r="J2" s="1"/>
      <c r="K2" s="1"/>
    </row>
    <row r="3" spans="1:16">
      <c r="J3" s="1"/>
      <c r="K3" s="1"/>
    </row>
    <row r="4" spans="1:16">
      <c r="N4" s="27" t="s">
        <v>99</v>
      </c>
    </row>
    <row r="5" spans="1:16">
      <c r="J5" s="1"/>
    </row>
    <row r="6" spans="1:16">
      <c r="J6" s="1"/>
    </row>
    <row r="7" spans="1:16">
      <c r="B7" t="s">
        <v>25</v>
      </c>
      <c r="H7" s="16">
        <v>0</v>
      </c>
      <c r="J7" s="8" t="s">
        <v>24</v>
      </c>
    </row>
    <row r="8" spans="1:16">
      <c r="B8" t="s">
        <v>11</v>
      </c>
      <c r="H8" s="15">
        <v>1000</v>
      </c>
      <c r="J8" s="8" t="s">
        <v>24</v>
      </c>
    </row>
    <row r="9" spans="1:16">
      <c r="B9" t="s">
        <v>37</v>
      </c>
      <c r="H9" s="15">
        <v>2000</v>
      </c>
      <c r="J9" s="8"/>
      <c r="K9" t="s">
        <v>35</v>
      </c>
    </row>
    <row r="10" spans="1:16">
      <c r="B10" s="8" t="s">
        <v>95</v>
      </c>
      <c r="H10" s="16">
        <v>1500</v>
      </c>
      <c r="J10" s="8"/>
    </row>
    <row r="11" spans="1:16">
      <c r="B11" s="8" t="s">
        <v>96</v>
      </c>
      <c r="H11" s="16">
        <v>0</v>
      </c>
      <c r="N11">
        <v>4710</v>
      </c>
      <c r="P11" t="s">
        <v>100</v>
      </c>
    </row>
    <row r="12" spans="1:16">
      <c r="H12" s="22">
        <f>SUM(H5:H11)</f>
        <v>4500</v>
      </c>
    </row>
    <row r="14" spans="1:16">
      <c r="B14" s="8" t="s">
        <v>36</v>
      </c>
      <c r="F14" s="8"/>
      <c r="H14" s="16">
        <v>850</v>
      </c>
    </row>
    <row r="15" spans="1:16">
      <c r="H15" s="22">
        <f>SUM(H14:H14)</f>
        <v>850</v>
      </c>
    </row>
    <row r="17" spans="2:8" ht="13.5" thickBot="1">
      <c r="B17" t="s">
        <v>12</v>
      </c>
      <c r="H17" s="53">
        <f>H12+H15</f>
        <v>5350</v>
      </c>
    </row>
    <row r="38" spans="10:10">
      <c r="J38" s="14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6382-281B-43C3-8415-D4D9C7AB5A27}">
  <sheetPr>
    <tabColor rgb="FF00B0F0"/>
  </sheetPr>
  <dimension ref="A1:D15"/>
  <sheetViews>
    <sheetView zoomScale="97" zoomScaleNormal="190" workbookViewId="0">
      <selection activeCell="D15" sqref="D15"/>
    </sheetView>
  </sheetViews>
  <sheetFormatPr defaultRowHeight="12.75"/>
  <cols>
    <col min="1" max="1" width="18" customWidth="1"/>
    <col min="2" max="2" width="10.7109375" customWidth="1"/>
    <col min="4" max="4" width="122.7109375" customWidth="1"/>
  </cols>
  <sheetData>
    <row r="1" spans="1:4">
      <c r="A1" s="11" t="s">
        <v>64</v>
      </c>
      <c r="B1" s="11"/>
      <c r="C1" s="11"/>
      <c r="D1" s="11"/>
    </row>
    <row r="3" spans="1:4">
      <c r="B3" t="s">
        <v>69</v>
      </c>
      <c r="C3" t="s">
        <v>70</v>
      </c>
    </row>
    <row r="4" spans="1:4">
      <c r="A4" s="14" t="s">
        <v>65</v>
      </c>
      <c r="B4" s="110">
        <v>71</v>
      </c>
      <c r="D4" t="s">
        <v>319</v>
      </c>
    </row>
    <row r="5" spans="1:4">
      <c r="A5" s="14" t="s">
        <v>66</v>
      </c>
      <c r="B5" s="110">
        <v>71</v>
      </c>
      <c r="D5" s="14" t="s">
        <v>88</v>
      </c>
    </row>
    <row r="6" spans="1:4">
      <c r="A6" s="14" t="s">
        <v>67</v>
      </c>
      <c r="B6" s="110">
        <v>65</v>
      </c>
    </row>
    <row r="7" spans="1:4">
      <c r="A7" s="14" t="s">
        <v>68</v>
      </c>
      <c r="B7" s="110">
        <v>82</v>
      </c>
    </row>
    <row r="8" spans="1:4">
      <c r="A8" s="14" t="s">
        <v>318</v>
      </c>
      <c r="B8" s="110">
        <v>50</v>
      </c>
    </row>
    <row r="9" spans="1:4">
      <c r="A9" s="14" t="s">
        <v>351</v>
      </c>
      <c r="B9" s="110">
        <v>66</v>
      </c>
    </row>
    <row r="10" spans="1:4">
      <c r="A10" s="14"/>
      <c r="B10" s="14"/>
    </row>
    <row r="11" spans="1:4" ht="13.5" thickBot="1">
      <c r="B11" s="37">
        <f>SUM(B4:B10)</f>
        <v>405</v>
      </c>
      <c r="C11" s="37">
        <f>B11*12</f>
        <v>4860</v>
      </c>
    </row>
    <row r="12" spans="1:4" ht="13.5" thickTop="1">
      <c r="A12" t="s">
        <v>352</v>
      </c>
      <c r="C12" s="27">
        <v>500</v>
      </c>
    </row>
    <row r="13" spans="1:4" ht="13.5" thickBot="1">
      <c r="C13" s="37">
        <f>SUM(C11:C12)</f>
        <v>5360</v>
      </c>
    </row>
    <row r="14" spans="1:4" ht="13.5" thickTop="1"/>
    <row r="15" spans="1:4">
      <c r="B15" t="s">
        <v>30</v>
      </c>
      <c r="C15" s="49">
        <v>5500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296D-66D6-4146-B77A-263883751DDA}">
  <sheetPr>
    <tabColor rgb="FF00B0F0"/>
  </sheetPr>
  <dimension ref="A1:S8"/>
  <sheetViews>
    <sheetView zoomScale="117" zoomScaleNormal="196" workbookViewId="0">
      <selection activeCell="I30" sqref="I30"/>
    </sheetView>
  </sheetViews>
  <sheetFormatPr defaultColWidth="9.140625" defaultRowHeight="12.75"/>
  <cols>
    <col min="6" max="6" width="16.5703125" style="16" customWidth="1"/>
    <col min="7" max="7" width="11" style="2" bestFit="1" customWidth="1"/>
    <col min="11" max="11" width="2.42578125" customWidth="1"/>
    <col min="12" max="12" width="11.140625" customWidth="1"/>
    <col min="16" max="16" width="10.7109375" customWidth="1"/>
    <col min="19" max="19" width="10.85546875" customWidth="1"/>
  </cols>
  <sheetData>
    <row r="1" spans="1:19">
      <c r="A1" s="13" t="s">
        <v>365</v>
      </c>
      <c r="B1" s="11"/>
      <c r="C1" s="11"/>
      <c r="D1" s="11"/>
      <c r="E1" s="11"/>
      <c r="F1" s="20"/>
      <c r="G1" s="12"/>
      <c r="H1" s="11"/>
      <c r="I1" s="11"/>
      <c r="J1" s="11"/>
    </row>
    <row r="3" spans="1:19">
      <c r="A3" s="1" t="s">
        <v>15</v>
      </c>
      <c r="F3" s="15"/>
      <c r="H3" s="8"/>
      <c r="L3" s="2"/>
      <c r="Q3" s="4"/>
      <c r="R3" s="4"/>
      <c r="S3" s="5"/>
    </row>
    <row r="4" spans="1:19">
      <c r="A4" s="1"/>
      <c r="B4" t="s">
        <v>363</v>
      </c>
      <c r="F4" s="15">
        <f>691.49*4</f>
        <v>2765.96</v>
      </c>
      <c r="H4" s="8"/>
      <c r="L4" s="2"/>
      <c r="Q4" s="4"/>
      <c r="R4" s="4"/>
      <c r="S4" s="5"/>
    </row>
    <row r="5" spans="1:19">
      <c r="B5" t="s">
        <v>364</v>
      </c>
      <c r="F5" s="16">
        <f>500*4</f>
        <v>2000</v>
      </c>
      <c r="H5" s="8"/>
      <c r="L5" s="2"/>
      <c r="S5" s="2"/>
    </row>
    <row r="6" spans="1:19" ht="13.5" thickBot="1">
      <c r="F6" s="121">
        <f>SUM(F3:F5)</f>
        <v>4765.96</v>
      </c>
      <c r="L6" s="5"/>
    </row>
    <row r="7" spans="1:19" ht="13.5" thickTop="1"/>
    <row r="8" spans="1:19">
      <c r="E8" s="49" t="s">
        <v>30</v>
      </c>
      <c r="F8" s="122">
        <v>5000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Budget 2025-2026</vt:lpstr>
      <vt:lpstr>Investment revenue</vt:lpstr>
      <vt:lpstr>10-5100 10-5105 10-5115 Mailing</vt:lpstr>
      <vt:lpstr>10-5120 publicity</vt:lpstr>
      <vt:lpstr>10-5125 Marketing Materials-MC</vt:lpstr>
      <vt:lpstr>10-5130 Donor recognition</vt:lpstr>
      <vt:lpstr>10-7050 Business Dvpt </vt:lpstr>
      <vt:lpstr>10-8115 telephone</vt:lpstr>
      <vt:lpstr>10-8190 Equip - copier</vt:lpstr>
      <vt:lpstr>10-8300 software</vt:lpstr>
      <vt:lpstr>10-8520 Audit</vt:lpstr>
      <vt:lpstr>'10-5120 publicity'!Print_Area</vt:lpstr>
      <vt:lpstr>'10-8190 Equip - copier'!Print_Area</vt:lpstr>
    </vt:vector>
  </TitlesOfParts>
  <Company>lgh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lgh</dc:creator>
  <cp:lastModifiedBy>Maggie Santos Costa</cp:lastModifiedBy>
  <cp:lastPrinted>2025-03-20T16:25:06Z</cp:lastPrinted>
  <dcterms:created xsi:type="dcterms:W3CDTF">2015-02-23T13:49:10Z</dcterms:created>
  <dcterms:modified xsi:type="dcterms:W3CDTF">2026-04-24T12:02:54Z</dcterms:modified>
</cp:coreProperties>
</file>