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dir_Autres Activites\dep_Managing Director\Board\Board Documents\1 - Meetings\Board Meetings 2025\2 - April 30\Portal\April 28\"/>
    </mc:Choice>
  </mc:AlternateContent>
  <xr:revisionPtr revIDLastSave="0" documentId="8_{636F1044-158E-4BE7-A356-9E438B9C308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Budget 2025-2026" sheetId="29" r:id="rId1"/>
    <sheet name="Investment revenue" sheetId="31" r:id="rId2"/>
    <sheet name="20-4100 CC old and new" sheetId="28" r:id="rId3"/>
    <sheet name="10-5100 10-5105 10-5115 Mailing" sheetId="26" r:id="rId4"/>
    <sheet name="10-5120 publicity" sheetId="10" r:id="rId5"/>
    <sheet name="10-5125 Marketing Materials-MC" sheetId="23" r:id="rId6"/>
    <sheet name="10-5130 Donor recognition" sheetId="25" r:id="rId7"/>
    <sheet name="10-7050 Business Dvpt " sheetId="7" r:id="rId8"/>
    <sheet name="10-7055 Dues and Memberships" sheetId="22" r:id="rId9"/>
    <sheet name="10-8115 telephone" sheetId="27" r:id="rId10"/>
    <sheet name="10-8300 software" sheetId="5" r:id="rId11"/>
    <sheet name="10-8520 Audit" sheetId="8" r:id="rId12"/>
  </sheets>
  <definedNames>
    <definedName name="_xlnm.Print_Area" localSheetId="4">'10-5120 publicity'!$A$1:$L$15</definedName>
  </definedNames>
  <calcPr calcId="191029"/>
</workbook>
</file>

<file path=xl/calcChain.xml><?xml version="1.0" encoding="utf-8"?>
<calcChain xmlns="http://schemas.openxmlformats.org/spreadsheetml/2006/main">
  <c r="C4" i="5" l="1"/>
  <c r="K128" i="29" l="1"/>
  <c r="F19" i="8"/>
  <c r="F20" i="8" s="1"/>
  <c r="F22" i="8" l="1"/>
  <c r="F21" i="8"/>
  <c r="F24" i="8" s="1"/>
  <c r="K61" i="29"/>
  <c r="K59" i="29"/>
  <c r="F23" i="8" l="1"/>
  <c r="F25" i="8" s="1"/>
  <c r="K75" i="29"/>
  <c r="F17" i="31"/>
  <c r="F15" i="31"/>
  <c r="F7" i="31"/>
  <c r="J9" i="29" l="1"/>
  <c r="K126" i="29" l="1"/>
  <c r="K123" i="29"/>
  <c r="K132" i="29"/>
  <c r="K76" i="29"/>
  <c r="C16" i="23"/>
  <c r="K74" i="29"/>
  <c r="K9" i="29" l="1"/>
  <c r="D156" i="29" l="1"/>
  <c r="E156" i="29"/>
  <c r="F156" i="29"/>
  <c r="G156" i="29"/>
  <c r="H156" i="29"/>
  <c r="I156" i="29"/>
  <c r="C17" i="5" l="1"/>
  <c r="J144" i="29" l="1"/>
  <c r="J141" i="29"/>
  <c r="J30" i="29"/>
  <c r="J41" i="29" s="1"/>
  <c r="J36" i="29"/>
  <c r="J64" i="29"/>
  <c r="J59" i="29"/>
  <c r="J138" i="29"/>
  <c r="J134" i="29"/>
  <c r="J120" i="29"/>
  <c r="J114" i="29"/>
  <c r="J104" i="29"/>
  <c r="J96" i="29"/>
  <c r="J78" i="29"/>
  <c r="J56" i="29"/>
  <c r="J52" i="29"/>
  <c r="J48" i="29"/>
  <c r="J45" i="29"/>
  <c r="J25" i="29"/>
  <c r="J21" i="29"/>
  <c r="J18" i="29"/>
  <c r="J151" i="29" l="1"/>
  <c r="J146" i="29"/>
  <c r="J154" i="29" s="1"/>
  <c r="J65" i="29"/>
  <c r="J67" i="29" s="1"/>
  <c r="J61" i="28"/>
  <c r="K13" i="29" s="1"/>
  <c r="J58" i="28"/>
  <c r="J47" i="28"/>
  <c r="J55" i="28" s="1"/>
  <c r="J148" i="29" l="1"/>
  <c r="J150" i="29"/>
  <c r="J152" i="29" s="1"/>
  <c r="J156" i="29" s="1"/>
  <c r="I144" i="29"/>
  <c r="K141" i="29"/>
  <c r="I141" i="29"/>
  <c r="K138" i="29"/>
  <c r="I138" i="29"/>
  <c r="K134" i="29"/>
  <c r="I134" i="29"/>
  <c r="K120" i="29"/>
  <c r="I120" i="29"/>
  <c r="K114" i="29"/>
  <c r="I114" i="29"/>
  <c r="K104" i="29"/>
  <c r="I104" i="29"/>
  <c r="K96" i="29"/>
  <c r="I96" i="29"/>
  <c r="H96" i="29"/>
  <c r="H154" i="29" s="1"/>
  <c r="G96" i="29"/>
  <c r="G154" i="29" s="1"/>
  <c r="E96" i="29"/>
  <c r="E154" i="29" s="1"/>
  <c r="D96" i="29"/>
  <c r="D154" i="29" s="1"/>
  <c r="C96" i="29"/>
  <c r="C154" i="29" s="1"/>
  <c r="F88" i="29"/>
  <c r="F96" i="29" s="1"/>
  <c r="F154" i="29" s="1"/>
  <c r="I78" i="29"/>
  <c r="K65" i="29"/>
  <c r="I65" i="29"/>
  <c r="K56" i="29"/>
  <c r="I56" i="29"/>
  <c r="I52" i="29"/>
  <c r="I48" i="29"/>
  <c r="K45" i="29"/>
  <c r="I45" i="29"/>
  <c r="K41" i="29"/>
  <c r="I41" i="29"/>
  <c r="I151" i="29" s="1"/>
  <c r="H41" i="29"/>
  <c r="G41" i="29"/>
  <c r="E41" i="29"/>
  <c r="D41" i="29"/>
  <c r="C41" i="29"/>
  <c r="F35" i="29"/>
  <c r="F41" i="29" s="1"/>
  <c r="K25" i="29"/>
  <c r="I25" i="29"/>
  <c r="K21" i="29"/>
  <c r="I21" i="29"/>
  <c r="K18" i="29"/>
  <c r="I18" i="29"/>
  <c r="H9" i="29"/>
  <c r="G9" i="29"/>
  <c r="F9" i="29"/>
  <c r="E9" i="29"/>
  <c r="D9" i="29"/>
  <c r="C9" i="29"/>
  <c r="J155" i="29" l="1"/>
  <c r="K151" i="29"/>
  <c r="E67" i="29"/>
  <c r="E150" i="29" s="1"/>
  <c r="E151" i="29"/>
  <c r="D151" i="29"/>
  <c r="D67" i="29"/>
  <c r="D150" i="29" s="1"/>
  <c r="D152" i="29" s="1"/>
  <c r="H151" i="29"/>
  <c r="H67" i="29"/>
  <c r="H150" i="29" s="1"/>
  <c r="H152" i="29" s="1"/>
  <c r="H155" i="29" s="1"/>
  <c r="G151" i="29"/>
  <c r="G67" i="29"/>
  <c r="G150" i="29" s="1"/>
  <c r="G152" i="29" s="1"/>
  <c r="G155" i="29" s="1"/>
  <c r="D155" i="29"/>
  <c r="F67" i="29"/>
  <c r="F150" i="29" s="1"/>
  <c r="F151" i="29"/>
  <c r="C67" i="29"/>
  <c r="C150" i="29" s="1"/>
  <c r="C152" i="29" s="1"/>
  <c r="C151" i="29"/>
  <c r="I67" i="29"/>
  <c r="I150" i="29" s="1"/>
  <c r="I152" i="29" s="1"/>
  <c r="I146" i="29"/>
  <c r="I154" i="29" s="1"/>
  <c r="K67" i="29"/>
  <c r="K150" i="29" s="1"/>
  <c r="K152" i="29" s="1"/>
  <c r="F152" i="29" l="1"/>
  <c r="F155" i="29" s="1"/>
  <c r="I155" i="29"/>
  <c r="C155" i="29"/>
  <c r="C156" i="29"/>
  <c r="I148" i="29"/>
  <c r="E152" i="29"/>
  <c r="E155" i="29" s="1"/>
  <c r="J50" i="28" l="1"/>
  <c r="I50" i="28"/>
  <c r="F5" i="8" l="1"/>
  <c r="F6" i="8" s="1"/>
  <c r="B13" i="27"/>
  <c r="C13" i="27" s="1"/>
  <c r="B33" i="26"/>
  <c r="B39" i="26" s="1"/>
  <c r="B19" i="26"/>
  <c r="B23" i="26" s="1"/>
  <c r="B9" i="26"/>
  <c r="F8" i="8" l="1"/>
  <c r="F7" i="8"/>
  <c r="F10" i="8" s="1"/>
  <c r="K78" i="29"/>
  <c r="K146" i="29" s="1"/>
  <c r="F9" i="10"/>
  <c r="K154" i="29" l="1"/>
  <c r="K148" i="29"/>
  <c r="K156" i="29" l="1"/>
  <c r="K155" i="29"/>
  <c r="C10" i="22" l="1"/>
  <c r="F9" i="8" l="1"/>
  <c r="F11" i="8" s="1"/>
  <c r="H15" i="7" l="1"/>
  <c r="H12" i="7"/>
  <c r="H1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Natalie Lason</author>
  </authors>
  <commentList>
    <comment ref="J9" authorId="0" shapeId="0" xr:uid="{B7C16FE3-4AE8-4310-A6FD-3CF5D49BBECA}">
      <text>
        <r>
          <rPr>
            <b/>
            <sz val="9"/>
            <color indexed="81"/>
            <rFont val="Tahoma"/>
            <family val="2"/>
          </rPr>
          <t>Natalie Lason:</t>
        </r>
        <r>
          <rPr>
            <sz val="9"/>
            <color indexed="81"/>
            <rFont val="Tahoma"/>
            <family val="2"/>
          </rPr>
          <t xml:space="preserve">
$430,000 Trottier
$50,000 Richard Straus in Memory of Mr. Bell
$15,000 Hanson Family
$10,000 LLO</t>
        </r>
      </text>
    </comment>
    <comment ref="J12" authorId="0" shapeId="0" xr:uid="{BFCDB09F-D209-4007-BF5B-A4D0FEBAB6E5}">
      <text>
        <r>
          <rPr>
            <b/>
            <sz val="9"/>
            <color indexed="81"/>
            <rFont val="Tahoma"/>
            <family val="2"/>
          </rPr>
          <t>Natalie Lason:</t>
        </r>
        <r>
          <rPr>
            <sz val="9"/>
            <color indexed="81"/>
            <rFont val="Tahoma"/>
            <family val="2"/>
          </rPr>
          <t xml:space="preserve">
Partner revenue moved to fundraising events
walkathon 2500$
Golf 28327$
Ball 45700$
</t>
        </r>
      </text>
    </comment>
    <comment ref="J14" authorId="0" shapeId="0" xr:uid="{12B53A29-F842-4B82-9E69-58D42E03A860}">
      <text>
        <r>
          <rPr>
            <b/>
            <sz val="9"/>
            <color indexed="81"/>
            <rFont val="Tahoma"/>
            <family val="2"/>
          </rPr>
          <t>Natalie Lason:</t>
        </r>
        <r>
          <rPr>
            <sz val="9"/>
            <color indexed="81"/>
            <rFont val="Tahoma"/>
            <family val="2"/>
          </rPr>
          <t xml:space="preserve">
Colin Adair $150,000
Aux $54,415 Music Ther
Aux $150,000 Psychiatry
Eric T Web $250,000
</t>
        </r>
      </text>
    </comment>
    <comment ref="E35" authorId="0" shapeId="0" xr:uid="{E372A3B1-DE76-42CC-AC50-AFBE8E181533}">
      <text>
        <r>
          <rPr>
            <b/>
            <sz val="9"/>
            <color indexed="81"/>
            <rFont val="Tahoma"/>
            <family val="2"/>
          </rPr>
          <t>Natalie Lason:</t>
        </r>
        <r>
          <rPr>
            <sz val="9"/>
            <color indexed="81"/>
            <rFont val="Tahoma"/>
            <family val="2"/>
          </rPr>
          <t xml:space="preserve">
includes online auction for covid-19</t>
        </r>
      </text>
    </comment>
    <comment ref="F35" authorId="0" shapeId="0" xr:uid="{D0F77888-D2A6-444E-8B48-861B002C8FFD}">
      <text>
        <r>
          <rPr>
            <b/>
            <sz val="9"/>
            <color indexed="81"/>
            <rFont val="Tahoma"/>
            <family val="2"/>
          </rPr>
          <t>Natalie Lason:</t>
        </r>
        <r>
          <rPr>
            <sz val="9"/>
            <color indexed="81"/>
            <rFont val="Tahoma"/>
            <family val="2"/>
          </rPr>
          <t xml:space="preserve">
chocolate sale $10040
Third Party $25325
</t>
        </r>
      </text>
    </comment>
    <comment ref="J59" authorId="0" shapeId="0" xr:uid="{A2D3B12F-9346-4595-B216-8706FCEC9AA4}">
      <text>
        <r>
          <rPr>
            <b/>
            <sz val="9"/>
            <color indexed="81"/>
            <rFont val="Tahoma"/>
            <family val="2"/>
          </rPr>
          <t>Natalie Lason:
from Q3</t>
        </r>
      </text>
    </comment>
    <comment ref="J64" authorId="0" shapeId="0" xr:uid="{1E701766-60ED-4FE5-BB93-6B5813C984F5}">
      <text>
        <r>
          <rPr>
            <b/>
            <sz val="9"/>
            <color indexed="81"/>
            <rFont val="Tahoma"/>
            <family val="2"/>
          </rPr>
          <t>Natalie Lason:</t>
        </r>
        <r>
          <rPr>
            <sz val="9"/>
            <color indexed="81"/>
            <rFont val="Tahoma"/>
            <family val="2"/>
          </rPr>
          <t xml:space="preserve">
From Q3
</t>
        </r>
      </text>
    </comment>
    <comment ref="J87" authorId="0" shapeId="0" xr:uid="{7FF1BFA4-577C-4A2D-B9BF-C0A1A0F01570}">
      <text>
        <r>
          <rPr>
            <b/>
            <sz val="9"/>
            <color indexed="81"/>
            <rFont val="Tahoma"/>
            <family val="2"/>
          </rPr>
          <t>Natalie Lason:</t>
        </r>
        <r>
          <rPr>
            <sz val="9"/>
            <color indexed="81"/>
            <rFont val="Tahoma"/>
            <family val="2"/>
          </rPr>
          <t xml:space="preserve">
$106,766.87 with 2024 invoice of $42,922.94 added. But donation to be received in same amt.  </t>
        </r>
      </text>
    </comment>
  </commentList>
</comments>
</file>

<file path=xl/sharedStrings.xml><?xml version="1.0" encoding="utf-8"?>
<sst xmlns="http://schemas.openxmlformats.org/spreadsheetml/2006/main" count="432" uniqueCount="419">
  <si>
    <t>Annual Campaign</t>
  </si>
  <si>
    <t>Total revenues excluding events</t>
  </si>
  <si>
    <t>Fundraising events, net of costs</t>
  </si>
  <si>
    <t>Total</t>
  </si>
  <si>
    <t>Expenses (excluding events expenses)</t>
  </si>
  <si>
    <t>Net income before grants</t>
  </si>
  <si>
    <t>Software</t>
  </si>
  <si>
    <t>10-8300</t>
  </si>
  <si>
    <t>website domaine names</t>
  </si>
  <si>
    <t>10-7050</t>
  </si>
  <si>
    <t>Business Development</t>
  </si>
  <si>
    <t xml:space="preserve">West Island Chamber of Commerce </t>
  </si>
  <si>
    <t>Total Business Development</t>
  </si>
  <si>
    <t>10-8520</t>
  </si>
  <si>
    <t xml:space="preserve">Auditors </t>
  </si>
  <si>
    <t>Summary:</t>
  </si>
  <si>
    <t>blackbaud (FE/RE)</t>
  </si>
  <si>
    <t xml:space="preserve">Adobe creative cloud </t>
  </si>
  <si>
    <t>2018-2019</t>
  </si>
  <si>
    <t>2019-2020</t>
  </si>
  <si>
    <t xml:space="preserve">Note: </t>
  </si>
  <si>
    <t>see events or annual campaign</t>
  </si>
  <si>
    <t>Publicity: (10-5120)</t>
  </si>
  <si>
    <t>2020-2021</t>
  </si>
  <si>
    <t>Carole</t>
  </si>
  <si>
    <t>business conference (Toronto - Cause Marketing)</t>
  </si>
  <si>
    <t>2021-2022</t>
  </si>
  <si>
    <t xml:space="preserve"> </t>
  </si>
  <si>
    <t>Partnership</t>
  </si>
  <si>
    <t>2022-2023</t>
  </si>
  <si>
    <t>rounded</t>
  </si>
  <si>
    <t>gst</t>
  </si>
  <si>
    <t>qst</t>
  </si>
  <si>
    <t>- half tax</t>
  </si>
  <si>
    <t>website maintenance CATSYS</t>
  </si>
  <si>
    <t>($35x30 people) x3</t>
  </si>
  <si>
    <t>Meals</t>
  </si>
  <si>
    <t>Partner Cocktails</t>
  </si>
  <si>
    <t>10-7055</t>
  </si>
  <si>
    <t>Dues and Memberships</t>
  </si>
  <si>
    <t>chambre de commerce</t>
  </si>
  <si>
    <t>AHP</t>
  </si>
  <si>
    <t>AHP Webinars</t>
  </si>
  <si>
    <t xml:space="preserve">other </t>
  </si>
  <si>
    <t>2023-2024</t>
  </si>
  <si>
    <t>#</t>
  </si>
  <si>
    <t>Parking lot + Kirkland signage</t>
  </si>
  <si>
    <t>• Changing 8 large signs
• 1 cafeteria, 2 Kirkland, 5 parking lot
• Arrive unmounted. Services techniques mounts them and installs. Kirkland installs their own</t>
  </si>
  <si>
    <t>Updated Fdn logo decal for door</t>
  </si>
  <si>
    <t>Donor wall updates</t>
  </si>
  <si>
    <t>Donor wall - new fdn logo</t>
  </si>
  <si>
    <t>Planned giving pamphlet</t>
  </si>
  <si>
    <t>Marketing (Communications) 10-5125</t>
  </si>
  <si>
    <t>included in 10-5125</t>
  </si>
  <si>
    <t>Publicity for events :</t>
  </si>
  <si>
    <t>Publicity for annual campaign:</t>
  </si>
  <si>
    <t>Donor recogniton 10-5130</t>
  </si>
  <si>
    <t>Mailings</t>
  </si>
  <si>
    <t>Patient Mailing 10-5105:</t>
  </si>
  <si>
    <t>Annual Campaign Mailings 10-5115</t>
  </si>
  <si>
    <t>mailing cost</t>
  </si>
  <si>
    <t>campaign costs</t>
  </si>
  <si>
    <t>Total AC</t>
  </si>
  <si>
    <t>costs do not include graphic work</t>
  </si>
  <si>
    <t>Note: mailing costs include translation, printing, postage and mailhouse</t>
  </si>
  <si>
    <t>graphic art, printing, etc</t>
  </si>
  <si>
    <t>michelle - did not renew</t>
  </si>
  <si>
    <t>michelle- did not use last year, did not renew</t>
  </si>
  <si>
    <t>carole, changed membership, price decreased</t>
  </si>
  <si>
    <t>Direct Mail and postage 10-5100:</t>
  </si>
  <si>
    <t>Postage meter rental $200 quarterly (Quadient)</t>
  </si>
  <si>
    <t>business reply transactions</t>
  </si>
  <si>
    <t>annual business reply fee 1/yr</t>
  </si>
  <si>
    <t>Telecommunicaitons 10-8115</t>
  </si>
  <si>
    <t>Nathalie Kamel</t>
  </si>
  <si>
    <t>Carole Ravenda</t>
  </si>
  <si>
    <t>Natalie Lason</t>
  </si>
  <si>
    <t>Alison Harris</t>
  </si>
  <si>
    <t>Michelle Campbell</t>
  </si>
  <si>
    <t>per month</t>
  </si>
  <si>
    <t>per yr</t>
  </si>
  <si>
    <t>wifi foundation</t>
  </si>
  <si>
    <t>Alison old phone and old plan but is not planning to change for now.</t>
  </si>
  <si>
    <t>so that foundation could access internet sites blocked on hospital network and wifi</t>
  </si>
  <si>
    <t>Does not include cost of graphic work</t>
  </si>
  <si>
    <t>Elevator doors</t>
  </si>
  <si>
    <t>• 6 floors x 3 doors (main elevator bank)
• Additional $700+ tx for additional 2 elevators</t>
  </si>
  <si>
    <t>Decals on fdn pillars</t>
  </si>
  <si>
    <t>Outdoor rotuna banners</t>
  </si>
  <si>
    <t>Social media posting tool</t>
  </si>
  <si>
    <t>• Continue contract with existing company
• Sprout Social
• Allows for reports, best days/times to post on each platform
• Easy to use (used to it now)</t>
  </si>
  <si>
    <t>TOTAL</t>
  </si>
  <si>
    <t>• Adding decals to the blue pillars by the Foundation office door (Maybe $1000.00) TBD</t>
  </si>
  <si>
    <t>• Update 6-7 inserts annually (Major donors, large donors (2), guardian angels, board, partners)
• Update 1 more with new completed projects $365+tax each (appox. $3000)</t>
  </si>
  <si>
    <t>for 250 units</t>
  </si>
  <si>
    <t>Capital Campaign</t>
  </si>
  <si>
    <t>Capital Campaign outstanding pledges as at February 20, 2024</t>
  </si>
  <si>
    <t>Date</t>
  </si>
  <si>
    <t>Type</t>
  </si>
  <si>
    <t>Fund</t>
  </si>
  <si>
    <t>Pledge</t>
  </si>
  <si>
    <t>Payments</t>
  </si>
  <si>
    <t>Dates payment made|Payment</t>
  </si>
  <si>
    <t>Outstanding payments</t>
  </si>
  <si>
    <t>Pledge Balance</t>
  </si>
  <si>
    <t>Beaconsfield Oldtimers Hockey Assn.</t>
  </si>
  <si>
    <t>PL A5</t>
  </si>
  <si>
    <t>2000</t>
  </si>
  <si>
    <t>02-03-2018 $1000</t>
  </si>
  <si>
    <t>02-03-2018</t>
  </si>
  <si>
    <t>04-10-2019 $1500</t>
  </si>
  <si>
    <t>Cedar Park Heights Men's Softball League</t>
  </si>
  <si>
    <t>31-12-2017 $5000</t>
  </si>
  <si>
    <t>31-12-2018 $5000</t>
  </si>
  <si>
    <t>03-11-2019 $4000</t>
  </si>
  <si>
    <t>Note: $6800 was entered in 1098 but was applied against the pledge</t>
  </si>
  <si>
    <t>even though it was not coded to capital campaign</t>
  </si>
  <si>
    <t>PL A10</t>
  </si>
  <si>
    <t>2403</t>
  </si>
  <si>
    <t>09-12-2018 $10,000</t>
  </si>
  <si>
    <t>09-12-2019 $10,000</t>
  </si>
  <si>
    <t>09-12-2020 $10,000</t>
  </si>
  <si>
    <t>09-12-2021 $10,000</t>
  </si>
  <si>
    <t>19-09-2022 $10,000</t>
  </si>
  <si>
    <t>02-10-2023 $10,000</t>
  </si>
  <si>
    <t xml:space="preserve">09-12-2025 </t>
  </si>
  <si>
    <t xml:space="preserve">09-12-2026 </t>
  </si>
  <si>
    <t xml:space="preserve">09-12-2027 </t>
  </si>
  <si>
    <t>Ville de/City of Beaconsfield</t>
  </si>
  <si>
    <t>PL A3</t>
  </si>
  <si>
    <t>09-10-2020</t>
  </si>
  <si>
    <t>Totals:</t>
  </si>
  <si>
    <t>The Birks Family Foundation</t>
  </si>
  <si>
    <t>3 postage refills</t>
  </si>
  <si>
    <t>mail xmas cards</t>
  </si>
  <si>
    <t>ink or accessories</t>
  </si>
  <si>
    <t>work with NK - GL saved actual 30K</t>
  </si>
  <si>
    <t>Spring</t>
  </si>
  <si>
    <t>Fall</t>
  </si>
  <si>
    <t>Holiday</t>
  </si>
  <si>
    <t>New comm phone</t>
  </si>
  <si>
    <t>new phone and new plan</t>
  </si>
  <si>
    <t xml:space="preserve">Carole got new phone, but got amazing loyalty price and reduced ty for multiple phones </t>
  </si>
  <si>
    <t>docusign</t>
  </si>
  <si>
    <t>sprout</t>
  </si>
  <si>
    <t>Quickbooks</t>
  </si>
  <si>
    <t>zoom</t>
  </si>
  <si>
    <t>canva</t>
  </si>
  <si>
    <t>canva replaced picmonkey - free as per MC</t>
  </si>
  <si>
    <t>april</t>
  </si>
  <si>
    <t>Palliative Care</t>
  </si>
  <si>
    <t>Foundation Search</t>
  </si>
  <si>
    <t>• Includes installation
• Changing 3 banners  $5700</t>
  </si>
  <si>
    <t>June</t>
  </si>
  <si>
    <t>YE2025 actual</t>
  </si>
  <si>
    <t>Meta software</t>
  </si>
  <si>
    <t>2025-2026</t>
  </si>
  <si>
    <t>Lakeshore General Hospital Foundation</t>
  </si>
  <si>
    <t>Budget 2025-2026 Draft</t>
  </si>
  <si>
    <t>Income statement by Year End</t>
  </si>
  <si>
    <t>Budget for YE</t>
  </si>
  <si>
    <t>2024-2025 Q3</t>
  </si>
  <si>
    <t xml:space="preserve">     Revenues</t>
  </si>
  <si>
    <t>(1st year covid)</t>
  </si>
  <si>
    <t>(2nd year covid)</t>
  </si>
  <si>
    <t xml:space="preserve">          Donations</t>
  </si>
  <si>
    <t xml:space="preserve">               10-4100</t>
  </si>
  <si>
    <t>General Donations</t>
  </si>
  <si>
    <t>Patient mailers (manual separation)</t>
  </si>
  <si>
    <t xml:space="preserve">               10-4110</t>
  </si>
  <si>
    <t>IM /In Honour</t>
  </si>
  <si>
    <t xml:space="preserve">               10-4120</t>
  </si>
  <si>
    <t xml:space="preserve">               20-4100</t>
  </si>
  <si>
    <t xml:space="preserve">               30-4100</t>
  </si>
  <si>
    <t>Donations to designated funds</t>
  </si>
  <si>
    <t xml:space="preserve">               10-4240</t>
  </si>
  <si>
    <t>Gifts in Kind revenue other</t>
  </si>
  <si>
    <t xml:space="preserve">               20-4240</t>
  </si>
  <si>
    <t>Gifts in Kind other - Capital Campaign</t>
  </si>
  <si>
    <t xml:space="preserve">               30-4240</t>
  </si>
  <si>
    <t>Gifts in Kind other</t>
  </si>
  <si>
    <t xml:space="preserve">          Bequests</t>
  </si>
  <si>
    <t xml:space="preserve">               10-4190</t>
  </si>
  <si>
    <t>Endowments and Bequests</t>
  </si>
  <si>
    <t xml:space="preserve">          Gifts in kind</t>
  </si>
  <si>
    <t xml:space="preserve">               10-4210</t>
  </si>
  <si>
    <t>Gifts of Marketable Securities - unrestricted</t>
  </si>
  <si>
    <t xml:space="preserve">               30-4210</t>
  </si>
  <si>
    <t>Gifts of Marketable Securities - restricted</t>
  </si>
  <si>
    <t xml:space="preserve">          Fundraising activities</t>
  </si>
  <si>
    <t>10-4300-9010</t>
  </si>
  <si>
    <t>Fundraising events - revenue - Duck race</t>
  </si>
  <si>
    <t>10-4300-9011</t>
  </si>
  <si>
    <t>Fundraising events - revenue - Dollar&amp;Destinations</t>
  </si>
  <si>
    <t>10-4300-9020</t>
  </si>
  <si>
    <t>Fundraising events - revenue - Ball</t>
  </si>
  <si>
    <t>10-4300-9030</t>
  </si>
  <si>
    <t>Fundraising events - revenue - Golf</t>
  </si>
  <si>
    <t>10-4300-9070</t>
  </si>
  <si>
    <t>Fundraising events - revenue - Wrapping Fairview</t>
  </si>
  <si>
    <t>ly final yr</t>
  </si>
  <si>
    <t>10-4300-9074</t>
  </si>
  <si>
    <t>Fundraising events - revenue - Holiday Campaign</t>
  </si>
  <si>
    <t>10-4300-9090</t>
  </si>
  <si>
    <t>Fundraising events - revenue - Baton Rouge</t>
  </si>
  <si>
    <t>10-4300-9098</t>
  </si>
  <si>
    <t>Fundraising events - revenue - 40 Westt</t>
  </si>
  <si>
    <t>in cc</t>
  </si>
  <si>
    <t>10-4300-9099</t>
  </si>
  <si>
    <t>Fundraising events - revenue - Misc and Third Party</t>
  </si>
  <si>
    <t>10-4300-9101</t>
  </si>
  <si>
    <t>Fundraising events - revenue - Walk-a-thon</t>
  </si>
  <si>
    <t>10-4300-9102</t>
  </si>
  <si>
    <t>Fundraising events - revenue - Dragon Boat</t>
  </si>
  <si>
    <t>10-4300-9103</t>
  </si>
  <si>
    <t>Fundraising events - revenue - Lakeshore Rocks</t>
  </si>
  <si>
    <t>10-4300-1000</t>
  </si>
  <si>
    <t>Fundraising events - revenue - General fundraising</t>
  </si>
  <si>
    <t xml:space="preserve">               10-4350</t>
  </si>
  <si>
    <t>Fundraising Events - Accrued Revenue</t>
  </si>
  <si>
    <t xml:space="preserve">          TV Commissions/WIFI</t>
  </si>
  <si>
    <t xml:space="preserve">               10-4420</t>
  </si>
  <si>
    <t>TV Commissions</t>
  </si>
  <si>
    <t xml:space="preserve">               10-4425</t>
  </si>
  <si>
    <t>WIFI link donations</t>
  </si>
  <si>
    <t xml:space="preserve">          Change in cash surrender value of insurance policy</t>
  </si>
  <si>
    <t xml:space="preserve">               10-4220</t>
  </si>
  <si>
    <t>Gifts of Insurance</t>
  </si>
  <si>
    <t xml:space="preserve">          Other miscellaneous income</t>
  </si>
  <si>
    <t xml:space="preserve">               10-4450</t>
  </si>
  <si>
    <t>Accrued Revenue</t>
  </si>
  <si>
    <t xml:space="preserve">               10-4490</t>
  </si>
  <si>
    <t>Misc Revenue</t>
  </si>
  <si>
    <t xml:space="preserve">          Governnment grants</t>
  </si>
  <si>
    <t xml:space="preserve">               10-4800</t>
  </si>
  <si>
    <t>Government grants</t>
  </si>
  <si>
    <t xml:space="preserve">               20-4800</t>
  </si>
  <si>
    <t>Capital Campaign - Government grants</t>
  </si>
  <si>
    <t xml:space="preserve">          Investment Income</t>
  </si>
  <si>
    <t xml:space="preserve">               10-4900</t>
  </si>
  <si>
    <t>Interest on investments</t>
  </si>
  <si>
    <t xml:space="preserve">               10-4910</t>
  </si>
  <si>
    <t>Interest income</t>
  </si>
  <si>
    <t xml:space="preserve">               10-4920</t>
  </si>
  <si>
    <t>Dividend income</t>
  </si>
  <si>
    <t xml:space="preserve">               10-4940</t>
  </si>
  <si>
    <t>Gain/Loss on disposal</t>
  </si>
  <si>
    <t xml:space="preserve">               10-4998</t>
  </si>
  <si>
    <t>Fee Recovery Revenue</t>
  </si>
  <si>
    <t xml:space="preserve">               10-4700</t>
  </si>
  <si>
    <t>Change in Fair Market Value of Investmen</t>
  </si>
  <si>
    <t xml:space="preserve">          Total</t>
  </si>
  <si>
    <t xml:space="preserve">     Total Revenues</t>
  </si>
  <si>
    <t xml:space="preserve">     Expenses</t>
  </si>
  <si>
    <t xml:space="preserve">          Direct costs</t>
  </si>
  <si>
    <t xml:space="preserve">               10-5100</t>
  </si>
  <si>
    <t>Direct mail</t>
  </si>
  <si>
    <t xml:space="preserve">               10-5105</t>
  </si>
  <si>
    <t>Ex-patient mailing</t>
  </si>
  <si>
    <t xml:space="preserve">               10-5115</t>
  </si>
  <si>
    <t xml:space="preserve">               10-5120</t>
  </si>
  <si>
    <t>Publicity</t>
  </si>
  <si>
    <t xml:space="preserve">               10-5125</t>
  </si>
  <si>
    <t>Marketing (brochures, pamphlets...)</t>
  </si>
  <si>
    <t xml:space="preserve">               10-5130</t>
  </si>
  <si>
    <t>Donor Recognition</t>
  </si>
  <si>
    <t xml:space="preserve">               10-5810</t>
  </si>
  <si>
    <t>Credit card fees</t>
  </si>
  <si>
    <t xml:space="preserve">          Fundraising expenses</t>
  </si>
  <si>
    <t>10-5300-9010</t>
  </si>
  <si>
    <t>Fundraising events - expenses - Duck race</t>
  </si>
  <si>
    <t>10-5300-9011</t>
  </si>
  <si>
    <t>Fundraising events - expenses - Dollar&amp;Destinations</t>
  </si>
  <si>
    <t>10-5300-9020</t>
  </si>
  <si>
    <t>Fundraising events - expenses - Ball</t>
  </si>
  <si>
    <t>10-5300-9030</t>
  </si>
  <si>
    <t>Fundraising events - expenses - Golf</t>
  </si>
  <si>
    <t>10-5300-9070</t>
  </si>
  <si>
    <t>Fundraising events - expenses - Wrapping Fairview</t>
  </si>
  <si>
    <t>10-5300-9074</t>
  </si>
  <si>
    <t>Fundraising events - expenses - Holiday Campaign</t>
  </si>
  <si>
    <t>10-5300-9090</t>
  </si>
  <si>
    <t>Fundraising events - expenses - Baton Rouge</t>
  </si>
  <si>
    <t>10-5300-9098</t>
  </si>
  <si>
    <t>Fundraising events - expenses - 40 Westt</t>
  </si>
  <si>
    <t>10-5300-9099</t>
  </si>
  <si>
    <t>Fundraising events - expenses - Misc and Third Party</t>
  </si>
  <si>
    <t>10-5300-9101</t>
  </si>
  <si>
    <t>Fundraising events - expenses - Walk-a-thon</t>
  </si>
  <si>
    <t>10-5300-9102</t>
  </si>
  <si>
    <t>Fundraising events - expenses - Dragon Boat</t>
  </si>
  <si>
    <t>10-5300-9103</t>
  </si>
  <si>
    <t>Fundraising events - expenses - Lakeshore Rocks</t>
  </si>
  <si>
    <t>10-5300-1000</t>
  </si>
  <si>
    <t>Fundraising events - expenses - General fundraising</t>
  </si>
  <si>
    <t xml:space="preserve">          Gift in kind expenses</t>
  </si>
  <si>
    <t xml:space="preserve">               10-5335</t>
  </si>
  <si>
    <t>Gift in kind expense- events</t>
  </si>
  <si>
    <t xml:space="preserve">               10-5340</t>
  </si>
  <si>
    <t>Gift in kind expense Unrestricted</t>
  </si>
  <si>
    <t xml:space="preserve">               20-5340</t>
  </si>
  <si>
    <t>Gift in Kind Capital Campaign Expense</t>
  </si>
  <si>
    <t xml:space="preserve">               30-5335</t>
  </si>
  <si>
    <t>Gift in kind - other restricted funds</t>
  </si>
  <si>
    <t xml:space="preserve">               30-5340</t>
  </si>
  <si>
    <t>Gift in Kind expense Restricted</t>
  </si>
  <si>
    <t xml:space="preserve">          Human resources</t>
  </si>
  <si>
    <t xml:space="preserve">               Salaries and benefits</t>
  </si>
  <si>
    <t xml:space="preserve">                    10-6010</t>
  </si>
  <si>
    <t>Salaries</t>
  </si>
  <si>
    <t xml:space="preserve">                    10-6011</t>
  </si>
  <si>
    <t>Fringe Benefits</t>
  </si>
  <si>
    <t xml:space="preserve">                    10-6012</t>
  </si>
  <si>
    <t>Health insurance</t>
  </si>
  <si>
    <t xml:space="preserve">                    10-6013</t>
  </si>
  <si>
    <t>Disability insurance</t>
  </si>
  <si>
    <t xml:space="preserve">                    10-6014</t>
  </si>
  <si>
    <t>LGH parking for employees</t>
  </si>
  <si>
    <t xml:space="preserve">                    10-6015</t>
  </si>
  <si>
    <t>Group insurance</t>
  </si>
  <si>
    <t xml:space="preserve">                    10-6016</t>
  </si>
  <si>
    <t>CSST</t>
  </si>
  <si>
    <t xml:space="preserve">               Purchased services</t>
  </si>
  <si>
    <t xml:space="preserve">                    10-6020</t>
  </si>
  <si>
    <t>Professional services</t>
  </si>
  <si>
    <t xml:space="preserve">                    10-6022</t>
  </si>
  <si>
    <t>Software implementation &amp; training</t>
  </si>
  <si>
    <t xml:space="preserve">                    10-6026</t>
  </si>
  <si>
    <t>Translation</t>
  </si>
  <si>
    <t xml:space="preserve">                    10-6028</t>
  </si>
  <si>
    <t>Recruitment fees - Human Resources</t>
  </si>
  <si>
    <t xml:space="preserve">               Office expenses</t>
  </si>
  <si>
    <t xml:space="preserve">                    10-8100</t>
  </si>
  <si>
    <t>Office expenses</t>
  </si>
  <si>
    <t xml:space="preserve">                    10-8115</t>
  </si>
  <si>
    <t>Telecommunications</t>
  </si>
  <si>
    <t xml:space="preserve">                    10-8190</t>
  </si>
  <si>
    <t>Equipment Contract &amp; maintenance</t>
  </si>
  <si>
    <t xml:space="preserve">                    10-8200</t>
  </si>
  <si>
    <t>Miscellaneous</t>
  </si>
  <si>
    <t xml:space="preserve">                    10-8300</t>
  </si>
  <si>
    <t>Software and Software Maintenance and Support</t>
  </si>
  <si>
    <t xml:space="preserve">                    10-8510</t>
  </si>
  <si>
    <t>Legal fees</t>
  </si>
  <si>
    <t xml:space="preserve">                    10-8520</t>
  </si>
  <si>
    <t>Audit fees</t>
  </si>
  <si>
    <t xml:space="preserve">                    10-8530</t>
  </si>
  <si>
    <t>Compliance</t>
  </si>
  <si>
    <t xml:space="preserve">                    10-7050</t>
  </si>
  <si>
    <t>Business development</t>
  </si>
  <si>
    <t xml:space="preserve">                    10-7052</t>
  </si>
  <si>
    <t>Internal meetings</t>
  </si>
  <si>
    <t xml:space="preserve">                    10-7055</t>
  </si>
  <si>
    <t>Dues &amp; Membership</t>
  </si>
  <si>
    <t xml:space="preserve">                    10-7060</t>
  </si>
  <si>
    <t>Travel &amp; Parking</t>
  </si>
  <si>
    <t xml:space="preserve">               Interest and bank charges</t>
  </si>
  <si>
    <t xml:space="preserve">                    10-8810</t>
  </si>
  <si>
    <t>Bank charges</t>
  </si>
  <si>
    <t xml:space="preserve">                    10-8850</t>
  </si>
  <si>
    <t>Investment Management Fees</t>
  </si>
  <si>
    <t xml:space="preserve">               Bad Debt</t>
  </si>
  <si>
    <t xml:space="preserve">                    10-8800</t>
  </si>
  <si>
    <t>Bad Debt</t>
  </si>
  <si>
    <t xml:space="preserve">               Amortization</t>
  </si>
  <si>
    <t xml:space="preserve">                    10-8900</t>
  </si>
  <si>
    <t>Depreciation</t>
  </si>
  <si>
    <t xml:space="preserve">     Total Expenses</t>
  </si>
  <si>
    <t>SURPLUS/(DEFICIT) BEFORE GRANTS</t>
  </si>
  <si>
    <t>Total Pledge list expected</t>
  </si>
  <si>
    <t>New Capital Campaign start</t>
  </si>
  <si>
    <t>Totat Capital Campaign for budget</t>
  </si>
  <si>
    <t>Old Capital Campaign expected  from above (Birks)</t>
  </si>
  <si>
    <t>01-11-2024 $10,000</t>
  </si>
  <si>
    <t>Not expected to collect as per NK</t>
  </si>
  <si>
    <t>Not expected to collect any more as per NK</t>
  </si>
  <si>
    <t>2024-2025 Rev to Feb 28 exp Mar 19</t>
  </si>
  <si>
    <t>SimplyPhi</t>
  </si>
  <si>
    <t>go daddy</t>
  </si>
  <si>
    <t>grammarly</t>
  </si>
  <si>
    <t>$23.10 per month after 1/2 tax</t>
  </si>
  <si>
    <t>$58.04 per month after 1/2 tax</t>
  </si>
  <si>
    <t>monthly</t>
  </si>
  <si>
    <t>$483 USD</t>
  </si>
  <si>
    <t>vimeo</t>
  </si>
  <si>
    <t>October</t>
  </si>
  <si>
    <t>Graphic Design - Mauve Mango</t>
  </si>
  <si>
    <t>Maggie Costa</t>
  </si>
  <si>
    <t>asked Toni for quote - temp estimate as has increased by 500/year</t>
  </si>
  <si>
    <t>Mary Picard/Olga</t>
  </si>
  <si>
    <t>Avg $126/month $1512 per year</t>
  </si>
  <si>
    <t>written off with note in RE</t>
  </si>
  <si>
    <t>new Grook/chatGPT?</t>
  </si>
  <si>
    <t>Website</t>
  </si>
  <si>
    <t>2025 rough estimate</t>
  </si>
  <si>
    <t>Promo video</t>
  </si>
  <si>
    <t>see marketing</t>
  </si>
  <si>
    <t>LLO Ad</t>
  </si>
  <si>
    <t>Ads - suburban</t>
  </si>
  <si>
    <t>see events</t>
  </si>
  <si>
    <t>see mailings</t>
  </si>
  <si>
    <t>Branding New Logo</t>
  </si>
  <si>
    <t>Plaques and recognition events</t>
  </si>
  <si>
    <t xml:space="preserve">Replace old Foundation logo that's currently on the wall </t>
  </si>
  <si>
    <t>to follow up with her</t>
  </si>
  <si>
    <t xml:space="preserve">Audit 10-8520 </t>
  </si>
  <si>
    <t>Desjardins</t>
  </si>
  <si>
    <t>TS1-variable rate - if we keep $1,000,000</t>
  </si>
  <si>
    <t>TS5-matures December 19, 2025</t>
  </si>
  <si>
    <t>RBC PH&amp;N- estimate by RBC</t>
  </si>
  <si>
    <t>interest</t>
  </si>
  <si>
    <t>canadian dividends</t>
  </si>
  <si>
    <t>Net Foreign income</t>
  </si>
  <si>
    <t>As per NK 2025-04-02</t>
  </si>
  <si>
    <t>will be $119,000 plus tax, with provision</t>
  </si>
  <si>
    <t>NK working on details</t>
  </si>
  <si>
    <t>Quote estimate</t>
  </si>
  <si>
    <t>As per Toni quote 2025-04-11</t>
  </si>
  <si>
    <t xml:space="preserve">RE FE NXT with Membership subscription added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</si>
</sst>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* #,##0.00_)\ &quot;$&quot;_ ;_ * \(#,##0.00\)\ &quot;$&quot;_ ;_ * &quot;-&quot;??_)\ &quot;$&quot;_ ;_ @_ "/>
    <numFmt numFmtId="165" formatCode="0.0%"/>
    <numFmt numFmtId="166" formatCode="&quot;$&quot;#,##0"/>
    <numFmt numFmtId="167" formatCode="dd\/mm\/yyyy"/>
    <numFmt numFmtId="168" formatCode="&quot;$&quot;#,##0.00_);\(&quot;$&quot;#,##0.00\)"/>
    <numFmt numFmtId="169" formatCode="[$$-409]#,##0;\([$$-409]#,##0\);[$$-409]#,##0"/>
    <numFmt numFmtId="170" formatCode="[$-409]yyyy\-mm\-dd\ h\:mm\:ss\ AM/PM"/>
  </numFmts>
  <fonts count="5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b/>
      <sz val="13.9"/>
      <color indexed="8"/>
      <name val="Arial"/>
      <family val="2"/>
    </font>
    <font>
      <sz val="10"/>
      <color theme="1"/>
      <name val="Gill Sans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MS Sans Serif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MS Sans Serif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00FF"/>
      <name val="MS Sans Serif"/>
    </font>
    <font>
      <b/>
      <sz val="9.9499999999999993"/>
      <color indexed="8"/>
      <name val="Arial"/>
      <family val="2"/>
    </font>
    <font>
      <b/>
      <u/>
      <sz val="9.9499999999999993"/>
      <color indexed="8"/>
      <name val="Times New Roman"/>
      <family val="1"/>
    </font>
    <font>
      <sz val="10"/>
      <color indexed="8"/>
      <name val="Times New Roman"/>
      <family val="1"/>
    </font>
    <font>
      <sz val="9.85"/>
      <color indexed="8"/>
      <name val="Times New Roman"/>
      <family val="1"/>
    </font>
    <font>
      <sz val="10"/>
      <color theme="1"/>
      <name val="Times New Roman"/>
      <family val="1"/>
    </font>
    <font>
      <sz val="9.85"/>
      <color indexed="8"/>
      <name val="Times New Roman"/>
      <family val="1"/>
    </font>
    <font>
      <sz val="10"/>
      <color rgb="FFFF00FF"/>
      <name val="Times New Roman"/>
      <family val="1"/>
    </font>
    <font>
      <sz val="10"/>
      <color rgb="FFFF33CC"/>
      <name val="MS Sans Serif"/>
    </font>
    <font>
      <sz val="10"/>
      <color rgb="FF000000"/>
      <name val="Arial"/>
      <family val="2"/>
    </font>
    <font>
      <b/>
      <sz val="14.5"/>
      <name val="Segoe UI"/>
      <family val="2"/>
    </font>
    <font>
      <sz val="12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8"/>
      <color rgb="FFFF33CC"/>
      <name val="Segoe UI"/>
      <family val="2"/>
    </font>
    <font>
      <sz val="8"/>
      <color rgb="FF000000"/>
      <name val="Arial"/>
      <family val="2"/>
    </font>
    <font>
      <sz val="10"/>
      <color rgb="FFFF0000"/>
      <name val="Times New Roman"/>
      <family val="1"/>
    </font>
    <font>
      <sz val="9.85"/>
      <color rgb="FFFF0000"/>
      <name val="Times New Roman"/>
      <family val="1"/>
    </font>
    <font>
      <sz val="10"/>
      <color rgb="FF00B050"/>
      <name val="Times New Roman"/>
      <family val="1"/>
    </font>
    <font>
      <sz val="9.85"/>
      <color rgb="FF00B050"/>
      <name val="Times New Roman"/>
      <family val="1"/>
    </font>
    <font>
      <sz val="8"/>
      <color rgb="FF0070C0"/>
      <name val="Segoe UI"/>
      <family val="2"/>
    </font>
    <font>
      <b/>
      <sz val="8"/>
      <name val="Segoe UI"/>
      <family val="2"/>
    </font>
    <font>
      <sz val="8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1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9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6" fillId="0" borderId="0"/>
  </cellStyleXfs>
  <cellXfs count="192">
    <xf numFmtId="0" fontId="0" fillId="0" borderId="0" xfId="0"/>
    <xf numFmtId="0" fontId="0" fillId="0" borderId="0" xfId="0" applyNumberFormat="1" applyFill="1" applyBorder="1" applyAlignment="1" applyProtection="1"/>
    <xf numFmtId="0" fontId="11" fillId="0" borderId="0" xfId="0" applyFont="1"/>
    <xf numFmtId="43" fontId="0" fillId="0" borderId="0" xfId="1" applyFont="1"/>
    <xf numFmtId="0" fontId="11" fillId="0" borderId="0" xfId="0" applyFont="1" applyBorder="1"/>
    <xf numFmtId="0" fontId="0" fillId="0" borderId="0" xfId="0" applyBorder="1"/>
    <xf numFmtId="43" fontId="0" fillId="0" borderId="0" xfId="1" applyFont="1" applyBorder="1"/>
    <xf numFmtId="0" fontId="12" fillId="0" borderId="0" xfId="0" applyFont="1" applyFill="1"/>
    <xf numFmtId="43" fontId="12" fillId="0" borderId="0" xfId="1" applyFont="1" applyFill="1"/>
    <xf numFmtId="0" fontId="9" fillId="0" borderId="0" xfId="0" applyFont="1"/>
    <xf numFmtId="43" fontId="9" fillId="0" borderId="0" xfId="1" applyFont="1"/>
    <xf numFmtId="16" fontId="0" fillId="0" borderId="0" xfId="0" applyNumberFormat="1"/>
    <xf numFmtId="0" fontId="0" fillId="5" borderId="0" xfId="0" applyFill="1"/>
    <xf numFmtId="43" fontId="0" fillId="5" borderId="0" xfId="1" applyFont="1" applyFill="1"/>
    <xf numFmtId="0" fontId="9" fillId="5" borderId="0" xfId="0" applyFont="1" applyFill="1"/>
    <xf numFmtId="0" fontId="0" fillId="0" borderId="0" xfId="0" applyFill="1"/>
    <xf numFmtId="44" fontId="0" fillId="0" borderId="0" xfId="21" applyFont="1" applyFill="1"/>
    <xf numFmtId="44" fontId="0" fillId="0" borderId="0" xfId="21" applyFont="1"/>
    <xf numFmtId="44" fontId="0" fillId="0" borderId="2" xfId="21" applyFont="1" applyBorder="1"/>
    <xf numFmtId="44" fontId="0" fillId="0" borderId="2" xfId="21" applyFont="1" applyFill="1" applyBorder="1"/>
    <xf numFmtId="44" fontId="0" fillId="0" borderId="0" xfId="21" applyFont="1" applyBorder="1"/>
    <xf numFmtId="44" fontId="0" fillId="5" borderId="0" xfId="21" applyFont="1" applyFill="1"/>
    <xf numFmtId="44" fontId="12" fillId="0" borderId="0" xfId="21" applyFont="1" applyFill="1"/>
    <xf numFmtId="44" fontId="0" fillId="0" borderId="1" xfId="21" applyFont="1" applyBorder="1"/>
    <xf numFmtId="0" fontId="0" fillId="0" borderId="0" xfId="0" applyFill="1" applyBorder="1"/>
    <xf numFmtId="44" fontId="0" fillId="0" borderId="0" xfId="21" applyNumberFormat="1" applyFont="1"/>
    <xf numFmtId="0" fontId="0" fillId="0" borderId="0" xfId="0" quotePrefix="1" applyBorder="1"/>
    <xf numFmtId="6" fontId="0" fillId="0" borderId="2" xfId="21" applyNumberFormat="1" applyFont="1" applyBorder="1"/>
    <xf numFmtId="44" fontId="11" fillId="0" borderId="0" xfId="21" applyFont="1" applyFill="1"/>
    <xf numFmtId="0" fontId="0" fillId="2" borderId="0" xfId="0" applyFill="1"/>
    <xf numFmtId="0" fontId="9" fillId="0" borderId="0" xfId="0" applyFont="1" applyFill="1"/>
    <xf numFmtId="16" fontId="0" fillId="0" borderId="0" xfId="0" applyNumberFormat="1" applyFill="1"/>
    <xf numFmtId="0" fontId="0" fillId="0" borderId="0" xfId="0" applyAlignment="1">
      <alignment horizontal="center"/>
    </xf>
    <xf numFmtId="0" fontId="7" fillId="0" borderId="0" xfId="25" applyAlignment="1">
      <alignment horizontal="left" vertical="center"/>
    </xf>
    <xf numFmtId="0" fontId="5" fillId="0" borderId="0" xfId="25" applyFont="1" applyAlignment="1">
      <alignment horizontal="left" vertical="center"/>
    </xf>
    <xf numFmtId="44" fontId="7" fillId="0" borderId="0" xfId="21" applyFont="1" applyAlignment="1">
      <alignment horizontal="left" vertical="center"/>
    </xf>
    <xf numFmtId="0" fontId="5" fillId="5" borderId="0" xfId="25" applyFont="1" applyFill="1" applyAlignment="1">
      <alignment horizontal="left" vertical="center"/>
    </xf>
    <xf numFmtId="0" fontId="7" fillId="5" borderId="0" xfId="25" applyFill="1" applyAlignment="1">
      <alignment horizontal="left" vertical="center"/>
    </xf>
    <xf numFmtId="44" fontId="7" fillId="5" borderId="0" xfId="21" applyFont="1" applyFill="1" applyAlignment="1">
      <alignment horizontal="left" vertical="center"/>
    </xf>
    <xf numFmtId="0" fontId="6" fillId="0" borderId="0" xfId="25" applyFont="1" applyFill="1" applyAlignment="1">
      <alignment horizontal="left" vertical="center"/>
    </xf>
    <xf numFmtId="0" fontId="7" fillId="0" borderId="0" xfId="25" applyFill="1" applyAlignment="1">
      <alignment horizontal="left" vertical="center"/>
    </xf>
    <xf numFmtId="0" fontId="0" fillId="0" borderId="2" xfId="0" applyBorder="1"/>
    <xf numFmtId="0" fontId="0" fillId="0" borderId="1" xfId="0" applyBorder="1"/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166" fontId="25" fillId="0" borderId="4" xfId="0" applyNumberFormat="1" applyFont="1" applyBorder="1" applyAlignment="1">
      <alignment horizontal="center" vertical="center"/>
    </xf>
    <xf numFmtId="0" fontId="4" fillId="0" borderId="0" xfId="25" applyFont="1" applyAlignment="1">
      <alignment horizontal="left" vertical="center"/>
    </xf>
    <xf numFmtId="43" fontId="0" fillId="5" borderId="0" xfId="1" applyFont="1" applyFill="1" applyAlignment="1"/>
    <xf numFmtId="0" fontId="0" fillId="3" borderId="0" xfId="0" applyFill="1"/>
    <xf numFmtId="43" fontId="0" fillId="0" borderId="0" xfId="1" applyFont="1" applyFill="1" applyAlignment="1"/>
    <xf numFmtId="0" fontId="0" fillId="0" borderId="9" xfId="0" applyBorder="1"/>
    <xf numFmtId="0" fontId="0" fillId="3" borderId="9" xfId="0" applyFill="1" applyBorder="1"/>
    <xf numFmtId="43" fontId="0" fillId="0" borderId="9" xfId="1" applyFont="1" applyFill="1" applyBorder="1" applyAlignment="1"/>
    <xf numFmtId="0" fontId="28" fillId="0" borderId="10" xfId="0" applyFont="1" applyBorder="1" applyAlignment="1">
      <alignment horizontal="left" vertical="center"/>
    </xf>
    <xf numFmtId="0" fontId="28" fillId="0" borderId="10" xfId="0" applyFont="1" applyBorder="1" applyAlignment="1">
      <alignment vertical="center"/>
    </xf>
    <xf numFmtId="0" fontId="0" fillId="3" borderId="0" xfId="0" applyNumberFormat="1" applyFill="1" applyBorder="1" applyAlignment="1" applyProtection="1"/>
    <xf numFmtId="0" fontId="29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/>
    <xf numFmtId="43" fontId="30" fillId="0" borderId="0" xfId="1" applyFont="1" applyFill="1" applyBorder="1" applyAlignment="1" applyProtection="1"/>
    <xf numFmtId="0" fontId="31" fillId="0" borderId="0" xfId="0" applyFont="1" applyBorder="1" applyAlignment="1">
      <alignment vertical="center"/>
    </xf>
    <xf numFmtId="167" fontId="31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168" fontId="31" fillId="0" borderId="0" xfId="0" applyNumberFormat="1" applyFont="1" applyBorder="1" applyAlignment="1">
      <alignment horizontal="right" vertical="center"/>
    </xf>
    <xf numFmtId="43" fontId="32" fillId="0" borderId="0" xfId="1" applyFont="1" applyFill="1" applyBorder="1" applyAlignment="1" applyProtection="1"/>
    <xf numFmtId="168" fontId="31" fillId="0" borderId="0" xfId="0" applyNumberFormat="1" applyFont="1" applyFill="1" applyBorder="1" applyAlignment="1">
      <alignment horizontal="right" vertical="center"/>
    </xf>
    <xf numFmtId="43" fontId="30" fillId="2" borderId="0" xfId="1" applyFont="1" applyFill="1" applyBorder="1" applyAlignment="1" applyProtection="1"/>
    <xf numFmtId="0" fontId="30" fillId="2" borderId="0" xfId="0" applyNumberFormat="1" applyFont="1" applyFill="1" applyBorder="1" applyAlignment="1" applyProtection="1"/>
    <xf numFmtId="0" fontId="31" fillId="0" borderId="0" xfId="0" applyFont="1" applyFill="1" applyBorder="1" applyAlignment="1">
      <alignment vertical="center"/>
    </xf>
    <xf numFmtId="167" fontId="31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0" fillId="0" borderId="11" xfId="0" applyNumberFormat="1" applyFill="1" applyBorder="1" applyAlignment="1" applyProtection="1"/>
    <xf numFmtId="0" fontId="0" fillId="3" borderId="11" xfId="0" applyNumberFormat="1" applyFill="1" applyBorder="1" applyAlignment="1" applyProtection="1"/>
    <xf numFmtId="0" fontId="30" fillId="0" borderId="11" xfId="0" applyNumberFormat="1" applyFont="1" applyFill="1" applyBorder="1" applyAlignment="1" applyProtection="1"/>
    <xf numFmtId="43" fontId="30" fillId="0" borderId="11" xfId="1" applyFont="1" applyFill="1" applyBorder="1" applyAlignment="1" applyProtection="1"/>
    <xf numFmtId="0" fontId="0" fillId="5" borderId="0" xfId="0" applyFill="1" applyAlignment="1">
      <alignment horizontal="center"/>
    </xf>
    <xf numFmtId="0" fontId="0" fillId="0" borderId="9" xfId="0" applyBorder="1" applyAlignment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6" fontId="32" fillId="0" borderId="0" xfId="0" applyNumberFormat="1" applyFont="1" applyFill="1" applyBorder="1" applyAlignment="1" applyProtection="1">
      <alignment horizontal="center"/>
    </xf>
    <xf numFmtId="0" fontId="30" fillId="2" borderId="0" xfId="0" applyNumberFormat="1" applyFont="1" applyFill="1" applyBorder="1" applyAlignment="1" applyProtection="1">
      <alignment horizontal="center"/>
    </xf>
    <xf numFmtId="0" fontId="30" fillId="0" borderId="11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34" fillId="0" borderId="0" xfId="0" applyNumberFormat="1" applyFont="1" applyFill="1" applyBorder="1" applyAlignment="1" applyProtection="1">
      <alignment horizontal="center"/>
    </xf>
    <xf numFmtId="43" fontId="34" fillId="0" borderId="0" xfId="1" applyFont="1" applyFill="1" applyBorder="1" applyAlignment="1" applyProtection="1"/>
    <xf numFmtId="0" fontId="27" fillId="0" borderId="2" xfId="0" applyFont="1" applyBorder="1"/>
    <xf numFmtId="0" fontId="27" fillId="0" borderId="0" xfId="0" applyFont="1"/>
    <xf numFmtId="0" fontId="35" fillId="0" borderId="0" xfId="0" applyFont="1"/>
    <xf numFmtId="44" fontId="35" fillId="0" borderId="2" xfId="21" applyFont="1" applyFill="1" applyBorder="1"/>
    <xf numFmtId="0" fontId="35" fillId="0" borderId="2" xfId="0" applyFont="1" applyBorder="1"/>
    <xf numFmtId="0" fontId="35" fillId="0" borderId="0" xfId="0" applyFont="1" applyBorder="1"/>
    <xf numFmtId="44" fontId="27" fillId="0" borderId="2" xfId="21" applyFont="1" applyBorder="1"/>
    <xf numFmtId="44" fontId="27" fillId="0" borderId="2" xfId="21" applyFont="1" applyFill="1" applyBorder="1"/>
    <xf numFmtId="44" fontId="27" fillId="0" borderId="3" xfId="21" applyFont="1" applyFill="1" applyBorder="1"/>
    <xf numFmtId="0" fontId="36" fillId="0" borderId="0" xfId="26"/>
    <xf numFmtId="169" fontId="40" fillId="0" borderId="12" xfId="26" applyNumberFormat="1" applyFont="1" applyBorder="1" applyAlignment="1">
      <alignment horizontal="center"/>
    </xf>
    <xf numFmtId="169" fontId="41" fillId="0" borderId="12" xfId="26" applyNumberFormat="1" applyFont="1" applyBorder="1" applyAlignment="1">
      <alignment horizontal="center"/>
    </xf>
    <xf numFmtId="0" fontId="40" fillId="0" borderId="0" xfId="26" applyFont="1"/>
    <xf numFmtId="169" fontId="40" fillId="6" borderId="12" xfId="26" applyNumberFormat="1" applyFont="1" applyFill="1" applyBorder="1" applyAlignment="1">
      <alignment horizontal="right"/>
    </xf>
    <xf numFmtId="169" fontId="36" fillId="0" borderId="0" xfId="26" applyNumberFormat="1"/>
    <xf numFmtId="169" fontId="42" fillId="0" borderId="0" xfId="26" applyNumberFormat="1" applyFont="1" applyAlignment="1">
      <alignment horizontal="right"/>
    </xf>
    <xf numFmtId="49" fontId="39" fillId="0" borderId="0" xfId="26" applyNumberFormat="1" applyFont="1" applyAlignment="1">
      <alignment vertical="top"/>
    </xf>
    <xf numFmtId="169" fontId="39" fillId="0" borderId="0" xfId="26" applyNumberFormat="1" applyFont="1" applyAlignment="1">
      <alignment horizontal="right" vertical="top"/>
    </xf>
    <xf numFmtId="49" fontId="39" fillId="0" borderId="0" xfId="26" applyNumberFormat="1" applyFont="1" applyAlignment="1">
      <alignment horizontal="left" vertical="top"/>
    </xf>
    <xf numFmtId="169" fontId="39" fillId="0" borderId="0" xfId="26" applyNumberFormat="1" applyFont="1" applyFill="1" applyAlignment="1">
      <alignment horizontal="right" vertical="top"/>
    </xf>
    <xf numFmtId="169" fontId="39" fillId="0" borderId="13" xfId="26" applyNumberFormat="1" applyFont="1" applyBorder="1" applyAlignment="1">
      <alignment horizontal="right" vertical="top"/>
    </xf>
    <xf numFmtId="49" fontId="39" fillId="0" borderId="0" xfId="26" applyNumberFormat="1" applyFont="1" applyAlignment="1">
      <alignment horizontal="center" vertical="top"/>
    </xf>
    <xf numFmtId="169" fontId="39" fillId="0" borderId="12" xfId="26" applyNumberFormat="1" applyFont="1" applyBorder="1" applyAlignment="1">
      <alignment horizontal="right" vertical="top"/>
    </xf>
    <xf numFmtId="169" fontId="40" fillId="8" borderId="12" xfId="26" applyNumberFormat="1" applyFont="1" applyFill="1" applyBorder="1" applyAlignment="1">
      <alignment horizontal="right" vertical="top"/>
    </xf>
    <xf numFmtId="169" fontId="40" fillId="9" borderId="12" xfId="26" applyNumberFormat="1" applyFont="1" applyFill="1" applyBorder="1" applyAlignment="1">
      <alignment horizontal="right" vertical="top"/>
    </xf>
    <xf numFmtId="169" fontId="40" fillId="0" borderId="12" xfId="26" applyNumberFormat="1" applyFont="1" applyBorder="1" applyAlignment="1">
      <alignment horizontal="right" vertical="top"/>
    </xf>
    <xf numFmtId="169" fontId="39" fillId="0" borderId="13" xfId="26" applyNumberFormat="1" applyFont="1" applyFill="1" applyBorder="1" applyAlignment="1">
      <alignment horizontal="right" vertical="top"/>
    </xf>
    <xf numFmtId="49" fontId="39" fillId="0" borderId="0" xfId="26" applyNumberFormat="1" applyFont="1" applyFill="1" applyAlignment="1">
      <alignment vertical="top"/>
    </xf>
    <xf numFmtId="0" fontId="36" fillId="0" borderId="0" xfId="26" applyFill="1"/>
    <xf numFmtId="169" fontId="36" fillId="0" borderId="0" xfId="26" applyNumberFormat="1" applyFill="1"/>
    <xf numFmtId="169" fontId="40" fillId="0" borderId="12" xfId="26" applyNumberFormat="1" applyFont="1" applyFill="1" applyBorder="1" applyAlignment="1">
      <alignment horizontal="right" vertical="top"/>
    </xf>
    <xf numFmtId="0" fontId="45" fillId="0" borderId="0" xfId="0" applyNumberFormat="1" applyFont="1" applyFill="1" applyBorder="1" applyAlignment="1" applyProtection="1">
      <alignment horizontal="center"/>
    </xf>
    <xf numFmtId="43" fontId="45" fillId="0" borderId="0" xfId="1" applyFont="1" applyFill="1" applyBorder="1" applyAlignment="1" applyProtection="1"/>
    <xf numFmtId="168" fontId="44" fillId="0" borderId="1" xfId="0" applyNumberFormat="1" applyFont="1" applyBorder="1" applyAlignment="1">
      <alignment horizontal="right" vertical="center"/>
    </xf>
    <xf numFmtId="168" fontId="44" fillId="0" borderId="1" xfId="0" applyNumberFormat="1" applyFont="1" applyFill="1" applyBorder="1" applyAlignment="1">
      <alignment horizontal="right" vertical="center"/>
    </xf>
    <xf numFmtId="168" fontId="46" fillId="0" borderId="1" xfId="0" applyNumberFormat="1" applyFont="1" applyBorder="1" applyAlignment="1">
      <alignment horizontal="right" vertical="center"/>
    </xf>
    <xf numFmtId="168" fontId="46" fillId="0" borderId="2" xfId="0" applyNumberFormat="1" applyFont="1" applyBorder="1" applyAlignment="1">
      <alignment horizontal="right" vertical="center"/>
    </xf>
    <xf numFmtId="0" fontId="43" fillId="2" borderId="0" xfId="0" applyNumberFormat="1" applyFont="1" applyFill="1" applyBorder="1" applyAlignment="1" applyProtection="1">
      <alignment horizontal="left"/>
    </xf>
    <xf numFmtId="43" fontId="43" fillId="2" borderId="0" xfId="1" applyFont="1" applyFill="1" applyBorder="1" applyAlignment="1" applyProtection="1">
      <alignment horizontal="left"/>
    </xf>
    <xf numFmtId="0" fontId="33" fillId="7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167" fontId="31" fillId="2" borderId="0" xfId="0" applyNumberFormat="1" applyFont="1" applyFill="1" applyBorder="1" applyAlignment="1">
      <alignment vertical="center"/>
    </xf>
    <xf numFmtId="0" fontId="22" fillId="0" borderId="0" xfId="0" applyFont="1"/>
    <xf numFmtId="44" fontId="22" fillId="0" borderId="0" xfId="21" applyNumberFormat="1" applyFont="1"/>
    <xf numFmtId="0" fontId="22" fillId="0" borderId="0" xfId="0" applyFont="1" applyAlignment="1">
      <alignment horizontal="center"/>
    </xf>
    <xf numFmtId="43" fontId="22" fillId="0" borderId="0" xfId="1" applyFont="1"/>
    <xf numFmtId="43" fontId="22" fillId="0" borderId="0" xfId="1" applyFont="1" applyBorder="1"/>
    <xf numFmtId="43" fontId="22" fillId="0" borderId="3" xfId="1" applyFont="1" applyBorder="1"/>
    <xf numFmtId="169" fontId="47" fillId="0" borderId="0" xfId="26" applyNumberFormat="1" applyFont="1" applyAlignment="1">
      <alignment horizontal="right" vertical="top"/>
    </xf>
    <xf numFmtId="0" fontId="42" fillId="0" borderId="0" xfId="26" applyFont="1"/>
    <xf numFmtId="0" fontId="42" fillId="0" borderId="0" xfId="26" applyFont="1" applyFill="1"/>
    <xf numFmtId="169" fontId="40" fillId="0" borderId="12" xfId="26" applyNumberFormat="1" applyFont="1" applyBorder="1" applyAlignment="1">
      <alignment horizontal="center"/>
    </xf>
    <xf numFmtId="0" fontId="0" fillId="2" borderId="0" xfId="0" applyNumberFormat="1" applyFill="1" applyBorder="1" applyAlignment="1" applyProtection="1"/>
    <xf numFmtId="168" fontId="44" fillId="2" borderId="0" xfId="0" applyNumberFormat="1" applyFont="1" applyFill="1" applyBorder="1" applyAlignment="1">
      <alignment horizontal="left" vertical="center"/>
    </xf>
    <xf numFmtId="169" fontId="40" fillId="5" borderId="12" xfId="26" applyNumberFormat="1" applyFont="1" applyFill="1" applyBorder="1" applyAlignment="1">
      <alignment horizontal="right"/>
    </xf>
    <xf numFmtId="169" fontId="40" fillId="9" borderId="12" xfId="26" applyNumberFormat="1" applyFont="1" applyFill="1" applyBorder="1" applyAlignment="1">
      <alignment horizontal="right"/>
    </xf>
    <xf numFmtId="169" fontId="48" fillId="9" borderId="12" xfId="26" applyNumberFormat="1" applyFont="1" applyFill="1" applyBorder="1" applyAlignment="1">
      <alignment horizontal="right" wrapText="1"/>
    </xf>
    <xf numFmtId="43" fontId="42" fillId="0" borderId="0" xfId="1" applyFont="1"/>
    <xf numFmtId="169" fontId="36" fillId="10" borderId="0" xfId="26" applyNumberFormat="1" applyFill="1" applyAlignment="1"/>
    <xf numFmtId="169" fontId="36" fillId="10" borderId="0" xfId="26" applyNumberFormat="1" applyFill="1"/>
    <xf numFmtId="165" fontId="36" fillId="10" borderId="0" xfId="26" applyNumberFormat="1" applyFill="1"/>
    <xf numFmtId="0" fontId="11" fillId="4" borderId="0" xfId="0" applyNumberFormat="1" applyFont="1" applyFill="1" applyBorder="1" applyAlignment="1" applyProtection="1"/>
    <xf numFmtId="0" fontId="36" fillId="10" borderId="0" xfId="26" applyFill="1"/>
    <xf numFmtId="169" fontId="47" fillId="0" borderId="0" xfId="26" applyNumberFormat="1" applyFont="1" applyFill="1" applyAlignment="1">
      <alignment horizontal="right" vertical="top"/>
    </xf>
    <xf numFmtId="44" fontId="7" fillId="0" borderId="0" xfId="21" applyFont="1" applyAlignment="1">
      <alignment horizontal="center" vertical="center"/>
    </xf>
    <xf numFmtId="6" fontId="0" fillId="0" borderId="4" xfId="0" applyNumberFormat="1" applyFill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 wrapText="1"/>
    </xf>
    <xf numFmtId="6" fontId="0" fillId="0" borderId="4" xfId="0" applyNumberFormat="1" applyFill="1" applyBorder="1" applyAlignment="1">
      <alignment horizontal="center" vertical="center" wrapText="1"/>
    </xf>
    <xf numFmtId="0" fontId="7" fillId="0" borderId="0" xfId="25" applyBorder="1" applyAlignment="1">
      <alignment horizontal="left" vertical="center"/>
    </xf>
    <xf numFmtId="44" fontId="7" fillId="0" borderId="0" xfId="21" applyFont="1" applyBorder="1" applyAlignment="1">
      <alignment horizontal="left" vertical="center"/>
    </xf>
    <xf numFmtId="0" fontId="2" fillId="0" borderId="0" xfId="25" applyFont="1" applyBorder="1" applyAlignment="1">
      <alignment horizontal="left" vertical="center"/>
    </xf>
    <xf numFmtId="0" fontId="3" fillId="0" borderId="0" xfId="25" applyFont="1" applyBorder="1" applyAlignment="1">
      <alignment horizontal="left" vertical="center"/>
    </xf>
    <xf numFmtId="0" fontId="7" fillId="0" borderId="0" xfId="25" applyFill="1" applyBorder="1" applyAlignment="1">
      <alignment horizontal="left" vertical="center"/>
    </xf>
    <xf numFmtId="44" fontId="3" fillId="0" borderId="0" xfId="21" applyFont="1" applyFill="1" applyBorder="1" applyAlignment="1">
      <alignment horizontal="left" vertical="center" wrapText="1"/>
    </xf>
    <xf numFmtId="0" fontId="5" fillId="0" borderId="0" xfId="25" applyFont="1" applyFill="1" applyBorder="1" applyAlignment="1">
      <alignment horizontal="left" vertical="center" wrapText="1"/>
    </xf>
    <xf numFmtId="0" fontId="7" fillId="0" borderId="0" xfId="25" applyFill="1" applyBorder="1" applyAlignment="1">
      <alignment horizontal="left" vertical="center" wrapText="1"/>
    </xf>
    <xf numFmtId="44" fontId="7" fillId="0" borderId="3" xfId="21" applyFont="1" applyBorder="1" applyAlignment="1">
      <alignment horizontal="left" vertical="center"/>
    </xf>
    <xf numFmtId="0" fontId="0" fillId="2" borderId="0" xfId="0" applyFill="1" applyBorder="1"/>
    <xf numFmtId="0" fontId="9" fillId="0" borderId="0" xfId="0" applyFont="1" applyBorder="1"/>
    <xf numFmtId="169" fontId="49" fillId="0" borderId="0" xfId="26" applyNumberFormat="1" applyFont="1" applyAlignment="1">
      <alignment horizontal="right" vertical="top"/>
    </xf>
    <xf numFmtId="43" fontId="0" fillId="0" borderId="1" xfId="1" applyFont="1" applyBorder="1"/>
    <xf numFmtId="0" fontId="19" fillId="0" borderId="0" xfId="0" applyFont="1"/>
    <xf numFmtId="43" fontId="19" fillId="0" borderId="2" xfId="1" applyFont="1" applyBorder="1"/>
    <xf numFmtId="0" fontId="1" fillId="0" borderId="0" xfId="25" applyFont="1" applyAlignment="1">
      <alignment horizontal="left" vertical="center"/>
    </xf>
    <xf numFmtId="0" fontId="1" fillId="2" borderId="0" xfId="25" applyFont="1" applyFill="1" applyAlignment="1">
      <alignment horizontal="left" vertical="center"/>
    </xf>
    <xf numFmtId="6" fontId="7" fillId="0" borderId="2" xfId="21" applyNumberFormat="1" applyFont="1" applyBorder="1" applyAlignment="1">
      <alignment horizontal="center" vertical="center"/>
    </xf>
    <xf numFmtId="6" fontId="0" fillId="2" borderId="0" xfId="21" applyNumberFormat="1" applyFont="1" applyFill="1" applyBorder="1"/>
    <xf numFmtId="49" fontId="40" fillId="0" borderId="0" xfId="26" applyNumberFormat="1" applyFont="1" applyAlignment="1">
      <alignment vertical="top"/>
    </xf>
    <xf numFmtId="49" fontId="37" fillId="0" borderId="0" xfId="26" applyNumberFormat="1" applyFont="1" applyAlignment="1">
      <alignment horizontal="center" vertical="top"/>
    </xf>
    <xf numFmtId="49" fontId="38" fillId="0" borderId="0" xfId="26" applyNumberFormat="1" applyFont="1" applyAlignment="1">
      <alignment horizontal="center" vertical="top"/>
    </xf>
    <xf numFmtId="0" fontId="39" fillId="0" borderId="0" xfId="26" applyFont="1" applyAlignment="1">
      <alignment vertical="top"/>
    </xf>
    <xf numFmtId="169" fontId="40" fillId="0" borderId="12" xfId="26" applyNumberFormat="1" applyFont="1" applyBorder="1" applyAlignment="1">
      <alignment horizontal="center"/>
    </xf>
    <xf numFmtId="49" fontId="40" fillId="8" borderId="0" xfId="26" applyNumberFormat="1" applyFont="1" applyFill="1" applyAlignment="1">
      <alignment vertical="top"/>
    </xf>
    <xf numFmtId="49" fontId="39" fillId="0" borderId="0" xfId="26" applyNumberFormat="1" applyFont="1" applyAlignment="1">
      <alignment vertical="top"/>
    </xf>
    <xf numFmtId="170" fontId="39" fillId="0" borderId="0" xfId="26" applyNumberFormat="1" applyFont="1" applyAlignment="1">
      <alignment horizontal="left"/>
    </xf>
    <xf numFmtId="0" fontId="39" fillId="0" borderId="0" xfId="26" applyFont="1" applyAlignment="1">
      <alignment horizontal="center"/>
    </xf>
    <xf numFmtId="169" fontId="39" fillId="0" borderId="0" xfId="26" applyNumberFormat="1" applyFont="1" applyAlignment="1">
      <alignment horizontal="right"/>
    </xf>
    <xf numFmtId="0" fontId="10" fillId="3" borderId="8" xfId="0" applyFont="1" applyFill="1" applyBorder="1" applyAlignment="1">
      <alignment horizont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0" fillId="2" borderId="0" xfId="0" applyNumberFormat="1" applyFont="1" applyFill="1" applyBorder="1" applyAlignment="1" applyProtection="1">
      <alignment horizontal="center" wrapText="1"/>
    </xf>
    <xf numFmtId="0" fontId="26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</cellXfs>
  <cellStyles count="27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Comma 6" xfId="6" xr:uid="{00000000-0005-0000-0000-000005000000}"/>
    <cellStyle name="Comma 7" xfId="23" xr:uid="{00000000-0005-0000-0000-000006000000}"/>
    <cellStyle name="Currency" xfId="21" builtinId="4"/>
    <cellStyle name="Currency 2" xfId="7" xr:uid="{00000000-0005-0000-0000-000008000000}"/>
    <cellStyle name="Currency 3" xfId="8" xr:uid="{00000000-0005-0000-0000-000009000000}"/>
    <cellStyle name="Hyperlink 2" xfId="9" xr:uid="{00000000-0005-0000-0000-00000B000000}"/>
    <cellStyle name="Hyperlink 3" xfId="24" xr:uid="{00000000-0005-0000-0000-00000C000000}"/>
    <cellStyle name="Monétaire 2" xfId="10" xr:uid="{00000000-0005-0000-0000-00000D000000}"/>
    <cellStyle name="Monétaire 3" xfId="11" xr:uid="{00000000-0005-0000-0000-00000E000000}"/>
    <cellStyle name="Normal" xfId="0" builtinId="0"/>
    <cellStyle name="Normal 10" xfId="26" xr:uid="{BE2A63EC-9035-4299-B6EF-FCE067697293}"/>
    <cellStyle name="Normal 2" xfId="12" xr:uid="{00000000-0005-0000-0000-000010000000}"/>
    <cellStyle name="Normal 2 2" xfId="13" xr:uid="{00000000-0005-0000-0000-000011000000}"/>
    <cellStyle name="Normal 2 3" xfId="14" xr:uid="{00000000-0005-0000-0000-000012000000}"/>
    <cellStyle name="Normal 3" xfId="15" xr:uid="{00000000-0005-0000-0000-000013000000}"/>
    <cellStyle name="Normal 4" xfId="16" xr:uid="{00000000-0005-0000-0000-000014000000}"/>
    <cellStyle name="Normal 5" xfId="17" xr:uid="{00000000-0005-0000-0000-000015000000}"/>
    <cellStyle name="Normal 6" xfId="18" xr:uid="{00000000-0005-0000-0000-000016000000}"/>
    <cellStyle name="Normal 7" xfId="19" xr:uid="{00000000-0005-0000-0000-000017000000}"/>
    <cellStyle name="Normal 8" xfId="22" xr:uid="{00000000-0005-0000-0000-000018000000}"/>
    <cellStyle name="Normal 9" xfId="25" xr:uid="{7C511A02-E047-48BB-8793-5F9D405222EF}"/>
    <cellStyle name="Percent 2" xfId="20" xr:uid="{00000000-0005-0000-0000-00001A000000}"/>
  </cellStyles>
  <dxfs count="0"/>
  <tableStyles count="0" defaultTableStyle="TableStyleMedium2" defaultPivotStyle="PivotStyleLight16"/>
  <colors>
    <mruColors>
      <color rgb="FFFF33CC"/>
      <color rgb="FFFF00FF"/>
      <color rgb="FFFFFF99"/>
      <color rgb="FF0040C0"/>
      <color rgb="FF216BFF"/>
      <color rgb="FFF6D8F2"/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ost.nxt.blackbaud.com/ledger/account/44?envid=p-4DQACL1xFUysOoaM89qH-g&amp;svcid=fenxt&amp;newWindow" TargetMode="External"/><Relationship Id="rId21" Type="http://schemas.openxmlformats.org/officeDocument/2006/relationships/hyperlink" Target="https://host.nxt.blackbaud.com/ledger/account/41?envid=p-4DQACL1xFUysOoaM89qH-g&amp;svcid=fenxt&amp;newWindow" TargetMode="External"/><Relationship Id="rId34" Type="http://schemas.openxmlformats.org/officeDocument/2006/relationships/hyperlink" Target="https://host.nxt.blackbaud.com/ledger/account/171?envid=p-4DQACL1xFUysOoaM89qH-g&amp;svcid=fenxt&amp;newWindow" TargetMode="External"/><Relationship Id="rId42" Type="http://schemas.openxmlformats.org/officeDocument/2006/relationships/hyperlink" Target="https://host.nxt.blackbaud.com/ledger/account/142?envid=p-4DQACL1xFUysOoaM89qH-g&amp;svcid=fenxt&amp;newWindow" TargetMode="External"/><Relationship Id="rId47" Type="http://schemas.openxmlformats.org/officeDocument/2006/relationships/hyperlink" Target="https://host.nxt.blackbaud.com/ledger/account/52?envid=p-4DQACL1xFUysOoaM89qH-g&amp;svcid=fenxt&amp;newWindow" TargetMode="External"/><Relationship Id="rId50" Type="http://schemas.openxmlformats.org/officeDocument/2006/relationships/hyperlink" Target="https://host.nxt.blackbaud.com/ledger/account/111?envid=p-4DQACL1xFUysOoaM89qH-g&amp;svcid=fenxt&amp;newWindow" TargetMode="External"/><Relationship Id="rId55" Type="http://schemas.openxmlformats.org/officeDocument/2006/relationships/hyperlink" Target="https://host.nxt.blackbaud.com/ledger/account/57?envid=p-4DQACL1xFUysOoaM89qH-g&amp;svcid=fenxt&amp;newWindow" TargetMode="External"/><Relationship Id="rId63" Type="http://schemas.openxmlformats.org/officeDocument/2006/relationships/hyperlink" Target="https://host.nxt.blackbaud.com/ledger/account/160?envid=p-4DQACL1xFUysOoaM89qH-g&amp;svcid=fenxt&amp;newWindow" TargetMode="External"/><Relationship Id="rId7" Type="http://schemas.openxmlformats.org/officeDocument/2006/relationships/hyperlink" Target="https://host.nxt.blackbaud.com/ledger/account/178?envid=p-4DQACL1xFUysOoaM89qH-g&amp;svcid=fenxt&amp;newWindow" TargetMode="External"/><Relationship Id="rId2" Type="http://schemas.openxmlformats.org/officeDocument/2006/relationships/hyperlink" Target="https://host.nxt.blackbaud.com/ledger/account/101?envid=p-4DQACL1xFUysOoaM89qH-g&amp;svcid=fenxt&amp;newWindow" TargetMode="External"/><Relationship Id="rId16" Type="http://schemas.openxmlformats.org/officeDocument/2006/relationships/hyperlink" Target="https://host.nxt.blackbaud.com/ledger/account/156?envid=p-4DQACL1xFUysOoaM89qH-g&amp;svcid=fenxt&amp;newWindow" TargetMode="External"/><Relationship Id="rId29" Type="http://schemas.openxmlformats.org/officeDocument/2006/relationships/hyperlink" Target="https://host.nxt.blackbaud.com/ledger/account/45?envid=p-4DQACL1xFUysOoaM89qH-g&amp;svcid=fenxt&amp;newWindow" TargetMode="External"/><Relationship Id="rId11" Type="http://schemas.openxmlformats.org/officeDocument/2006/relationships/hyperlink" Target="https://host.nxt.blackbaud.com/ledger/account/129?envid=p-4DQACL1xFUysOoaM89qH-g&amp;svcid=fenxt&amp;newWindow" TargetMode="External"/><Relationship Id="rId24" Type="http://schemas.openxmlformats.org/officeDocument/2006/relationships/hyperlink" Target="https://host.nxt.blackbaud.com/ledger/account/192?envid=p-4DQACL1xFUysOoaM89qH-g&amp;svcid=fenxt&amp;newWindow" TargetMode="External"/><Relationship Id="rId32" Type="http://schemas.openxmlformats.org/officeDocument/2006/relationships/hyperlink" Target="https://host.nxt.blackbaud.com/ledger/account/47?envid=p-4DQACL1xFUysOoaM89qH-g&amp;svcid=fenxt&amp;newWindow" TargetMode="External"/><Relationship Id="rId37" Type="http://schemas.openxmlformats.org/officeDocument/2006/relationships/hyperlink" Target="https://host.nxt.blackbaud.com/ledger/account/173?envid=p-4DQACL1xFUysOoaM89qH-g&amp;svcid=fenxt&amp;newWindow" TargetMode="External"/><Relationship Id="rId40" Type="http://schemas.openxmlformats.org/officeDocument/2006/relationships/hyperlink" Target="https://host.nxt.blackbaud.com/ledger/account/140?envid=p-4DQACL1xFUysOoaM89qH-g&amp;svcid=fenxt&amp;newWindow" TargetMode="External"/><Relationship Id="rId45" Type="http://schemas.openxmlformats.org/officeDocument/2006/relationships/hyperlink" Target="https://host.nxt.blackbaud.com/ledger/account/49?envid=p-4DQACL1xFUysOoaM89qH-g&amp;svcid=fenxt&amp;newWindow" TargetMode="External"/><Relationship Id="rId53" Type="http://schemas.openxmlformats.org/officeDocument/2006/relationships/hyperlink" Target="https://host.nxt.blackbaud.com/ledger/account/107?envid=p-4DQACL1xFUysOoaM89qH-g&amp;svcid=fenxt&amp;newWindow" TargetMode="External"/><Relationship Id="rId58" Type="http://schemas.openxmlformats.org/officeDocument/2006/relationships/hyperlink" Target="https://host.nxt.blackbaud.com/ledger/account/109?envid=p-4DQACL1xFUysOoaM89qH-g&amp;svcid=fenxt&amp;newWindow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s://host.nxt.blackbaud.com/ledger/account/69?envid=p-4DQACL1xFUysOoaM89qH-g&amp;svcid=fenxt&amp;newWindow" TargetMode="External"/><Relationship Id="rId61" Type="http://schemas.openxmlformats.org/officeDocument/2006/relationships/hyperlink" Target="https://host.nxt.blackbaud.com/ledger/account/58?envid=p-4DQACL1xFUysOoaM89qH-g&amp;svcid=fenxt&amp;newWindow" TargetMode="External"/><Relationship Id="rId19" Type="http://schemas.openxmlformats.org/officeDocument/2006/relationships/hyperlink" Target="https://host.nxt.blackbaud.com/ledger/account/180?envid=p-4DQACL1xFUysOoaM89qH-g&amp;svcid=fenxt&amp;newWindow" TargetMode="External"/><Relationship Id="rId14" Type="http://schemas.openxmlformats.org/officeDocument/2006/relationships/hyperlink" Target="https://host.nxt.blackbaud.com/ledger/account/196?envid=p-4DQACL1xFUysOoaM89qH-g&amp;svcid=fenxt&amp;newWindow" TargetMode="External"/><Relationship Id="rId22" Type="http://schemas.openxmlformats.org/officeDocument/2006/relationships/hyperlink" Target="https://host.nxt.blackbaud.com/ledger/account/42?envid=p-4DQACL1xFUysOoaM89qH-g&amp;svcid=fenxt&amp;newWindow" TargetMode="External"/><Relationship Id="rId27" Type="http://schemas.openxmlformats.org/officeDocument/2006/relationships/hyperlink" Target="https://host.nxt.blackbaud.com/ledger/account/153?envid=p-4DQACL1xFUysOoaM89qH-g&amp;svcid=fenxt&amp;newWindow" TargetMode="External"/><Relationship Id="rId30" Type="http://schemas.openxmlformats.org/officeDocument/2006/relationships/hyperlink" Target="https://host.nxt.blackbaud.com/ledger/account/108?envid=p-4DQACL1xFUysOoaM89qH-g&amp;svcid=fenxt&amp;newWindow" TargetMode="External"/><Relationship Id="rId35" Type="http://schemas.openxmlformats.org/officeDocument/2006/relationships/hyperlink" Target="https://host.nxt.blackbaud.com/ledger/account/189?envid=p-4DQACL1xFUysOoaM89qH-g&amp;svcid=fenxt&amp;newWindow" TargetMode="External"/><Relationship Id="rId43" Type="http://schemas.openxmlformats.org/officeDocument/2006/relationships/hyperlink" Target="https://host.nxt.blackbaud.com/ledger/account/90?envid=p-4DQACL1xFUysOoaM89qH-g&amp;svcid=fenxt&amp;newWindow" TargetMode="External"/><Relationship Id="rId48" Type="http://schemas.openxmlformats.org/officeDocument/2006/relationships/hyperlink" Target="https://host.nxt.blackbaud.com/ledger/account/53?envid=p-4DQACL1xFUysOoaM89qH-g&amp;svcid=fenxt&amp;newWindow" TargetMode="External"/><Relationship Id="rId56" Type="http://schemas.openxmlformats.org/officeDocument/2006/relationships/hyperlink" Target="https://host.nxt.blackbaud.com/ledger/account/197?envid=p-4DQACL1xFUysOoaM89qH-g&amp;svcid=fenxt&amp;newWindow" TargetMode="External"/><Relationship Id="rId64" Type="http://schemas.openxmlformats.org/officeDocument/2006/relationships/hyperlink" Target="https://host.nxt.blackbaud.com/ledger/account/59?envid=p-4DQACL1xFUysOoaM89qH-g&amp;svcid=fenxt&amp;newWindow" TargetMode="External"/><Relationship Id="rId8" Type="http://schemas.openxmlformats.org/officeDocument/2006/relationships/hyperlink" Target="https://host.nxt.blackbaud.com/ledger/account/130?envid=p-4DQACL1xFUysOoaM89qH-g&amp;svcid=fenxt&amp;newWindow" TargetMode="External"/><Relationship Id="rId51" Type="http://schemas.openxmlformats.org/officeDocument/2006/relationships/hyperlink" Target="https://host.nxt.blackbaud.com/ledger/account/110?envid=p-4DQACL1xFUysOoaM89qH-g&amp;svcid=fenxt&amp;newWindow" TargetMode="External"/><Relationship Id="rId3" Type="http://schemas.openxmlformats.org/officeDocument/2006/relationships/hyperlink" Target="https://host.nxt.blackbaud.com/ledger/account/195?envid=p-4DQACL1xFUysOoaM89qH-g&amp;svcid=fenxt&amp;newWindow" TargetMode="External"/><Relationship Id="rId12" Type="http://schemas.openxmlformats.org/officeDocument/2006/relationships/hyperlink" Target="https://host.nxt.blackbaud.com/ledger/account/150?envid=p-4DQACL1xFUysOoaM89qH-g&amp;svcid=fenxt&amp;newWindow" TargetMode="External"/><Relationship Id="rId17" Type="http://schemas.openxmlformats.org/officeDocument/2006/relationships/hyperlink" Target="https://host.nxt.blackbaud.com/ledger/account/38?envid=p-4DQACL1xFUysOoaM89qH-g&amp;svcid=fenxt&amp;newWindow" TargetMode="External"/><Relationship Id="rId25" Type="http://schemas.openxmlformats.org/officeDocument/2006/relationships/hyperlink" Target="https://host.nxt.blackbaud.com/ledger/account/136?envid=p-4DQACL1xFUysOoaM89qH-g&amp;svcid=fenxt&amp;newWindow" TargetMode="External"/><Relationship Id="rId33" Type="http://schemas.openxmlformats.org/officeDocument/2006/relationships/hyperlink" Target="https://host.nxt.blackbaud.com/ledger/account/172?envid=p-4DQACL1xFUysOoaM89qH-g&amp;svcid=fenxt&amp;newWindow" TargetMode="External"/><Relationship Id="rId38" Type="http://schemas.openxmlformats.org/officeDocument/2006/relationships/hyperlink" Target="https://host.nxt.blackbaud.com/ledger/account/48?envid=p-4DQACL1xFUysOoaM89qH-g&amp;svcid=fenxt&amp;newWindow" TargetMode="External"/><Relationship Id="rId46" Type="http://schemas.openxmlformats.org/officeDocument/2006/relationships/hyperlink" Target="https://host.nxt.blackbaud.com/ledger/account/50?envid=p-4DQACL1xFUysOoaM89qH-g&amp;svcid=fenxt&amp;newWindow" TargetMode="External"/><Relationship Id="rId59" Type="http://schemas.openxmlformats.org/officeDocument/2006/relationships/hyperlink" Target="https://host.nxt.blackbaud.com/ledger/account/105?envid=p-4DQACL1xFUysOoaM89qH-g&amp;svcid=fenxt&amp;newWindow" TargetMode="External"/><Relationship Id="rId67" Type="http://schemas.openxmlformats.org/officeDocument/2006/relationships/comments" Target="../comments1.xml"/><Relationship Id="rId20" Type="http://schemas.openxmlformats.org/officeDocument/2006/relationships/hyperlink" Target="https://host.nxt.blackbaud.com/ledger/account/40?envid=p-4DQACL1xFUysOoaM89qH-g&amp;svcid=fenxt&amp;newWindow" TargetMode="External"/><Relationship Id="rId41" Type="http://schemas.openxmlformats.org/officeDocument/2006/relationships/hyperlink" Target="https://host.nxt.blackbaud.com/ledger/account/141?envid=p-4DQACL1xFUysOoaM89qH-g&amp;svcid=fenxt&amp;newWindow" TargetMode="External"/><Relationship Id="rId54" Type="http://schemas.openxmlformats.org/officeDocument/2006/relationships/hyperlink" Target="https://host.nxt.blackbaud.com/ledger/account/56?envid=p-4DQACL1xFUysOoaM89qH-g&amp;svcid=fenxt&amp;newWindow" TargetMode="External"/><Relationship Id="rId62" Type="http://schemas.openxmlformats.org/officeDocument/2006/relationships/hyperlink" Target="https://host.nxt.blackbaud.com/ledger/account/159?envid=p-4DQACL1xFUysOoaM89qH-g&amp;svcid=fenxt&amp;newWindow" TargetMode="External"/><Relationship Id="rId1" Type="http://schemas.openxmlformats.org/officeDocument/2006/relationships/hyperlink" Target="https://host.nxt.blackbaud.com/ledger/account/29?envid=p-4DQACL1xFUysOoaM89qH-g&amp;svcid=fenxt&amp;newWindow" TargetMode="External"/><Relationship Id="rId6" Type="http://schemas.openxmlformats.org/officeDocument/2006/relationships/hyperlink" Target="https://host.nxt.blackbaud.com/ledger/account/95?envid=p-4DQACL1xFUysOoaM89qH-g&amp;svcid=fenxt&amp;newWindow" TargetMode="External"/><Relationship Id="rId15" Type="http://schemas.openxmlformats.org/officeDocument/2006/relationships/hyperlink" Target="https://host.nxt.blackbaud.com/ledger/account/32?envid=p-4DQACL1xFUysOoaM89qH-g&amp;svcid=fenxt&amp;newWindow" TargetMode="External"/><Relationship Id="rId23" Type="http://schemas.openxmlformats.org/officeDocument/2006/relationships/hyperlink" Target="https://host.nxt.blackbaud.com/ledger/account/120?envid=p-4DQACL1xFUysOoaM89qH-g&amp;svcid=fenxt&amp;newWindow" TargetMode="External"/><Relationship Id="rId28" Type="http://schemas.openxmlformats.org/officeDocument/2006/relationships/hyperlink" Target="https://host.nxt.blackbaud.com/ledger/account/98?envid=p-4DQACL1xFUysOoaM89qH-g&amp;svcid=fenxt&amp;newWindow" TargetMode="External"/><Relationship Id="rId36" Type="http://schemas.openxmlformats.org/officeDocument/2006/relationships/hyperlink" Target="https://host.nxt.blackbaud.com/ledger/account/193?envid=p-4DQACL1xFUysOoaM89qH-g&amp;svcid=fenxt&amp;newWindow" TargetMode="External"/><Relationship Id="rId49" Type="http://schemas.openxmlformats.org/officeDocument/2006/relationships/hyperlink" Target="https://host.nxt.blackbaud.com/ledger/account/54?envid=p-4DQACL1xFUysOoaM89qH-g&amp;svcid=fenxt&amp;newWindow" TargetMode="External"/><Relationship Id="rId57" Type="http://schemas.openxmlformats.org/officeDocument/2006/relationships/hyperlink" Target="https://host.nxt.blackbaud.com/ledger/account/91?envid=p-4DQACL1xFUysOoaM89qH-g&amp;svcid=fenxt&amp;newWindow" TargetMode="External"/><Relationship Id="rId10" Type="http://schemas.openxmlformats.org/officeDocument/2006/relationships/hyperlink" Target="https://host.nxt.blackbaud.com/ledger/account/31?envid=p-4DQACL1xFUysOoaM89qH-g&amp;svcid=fenxt&amp;newWindow" TargetMode="External"/><Relationship Id="rId31" Type="http://schemas.openxmlformats.org/officeDocument/2006/relationships/hyperlink" Target="https://host.nxt.blackbaud.com/ledger/account/154?envid=p-4DQACL1xFUysOoaM89qH-g&amp;svcid=fenxt&amp;newWindow" TargetMode="External"/><Relationship Id="rId44" Type="http://schemas.openxmlformats.org/officeDocument/2006/relationships/hyperlink" Target="https://host.nxt.blackbaud.com/ledger/account/112?envid=p-4DQACL1xFUysOoaM89qH-g&amp;svcid=fenxt&amp;newWindow" TargetMode="External"/><Relationship Id="rId52" Type="http://schemas.openxmlformats.org/officeDocument/2006/relationships/hyperlink" Target="https://host.nxt.blackbaud.com/ledger/account/55?envid=p-4DQACL1xFUysOoaM89qH-g&amp;svcid=fenxt&amp;newWindow" TargetMode="External"/><Relationship Id="rId60" Type="http://schemas.openxmlformats.org/officeDocument/2006/relationships/hyperlink" Target="https://host.nxt.blackbaud.com/ledger/account/106?envid=p-4DQACL1xFUysOoaM89qH-g&amp;svcid=fenxt&amp;newWindow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host.nxt.blackbaud.com/ledger/account/93?envid=p-4DQACL1xFUysOoaM89qH-g&amp;svcid=fenxt&amp;newWindow" TargetMode="External"/><Relationship Id="rId9" Type="http://schemas.openxmlformats.org/officeDocument/2006/relationships/hyperlink" Target="https://host.nxt.blackbaud.com/ledger/account/30?envid=p-4DQACL1xFUysOoaM89qH-g&amp;svcid=fenxt&amp;newWindow" TargetMode="External"/><Relationship Id="rId13" Type="http://schemas.openxmlformats.org/officeDocument/2006/relationships/hyperlink" Target="https://host.nxt.blackbaud.com/ledger/account/36?envid=p-4DQACL1xFUysOoaM89qH-g&amp;svcid=fenxt&amp;newWindow" TargetMode="External"/><Relationship Id="rId18" Type="http://schemas.openxmlformats.org/officeDocument/2006/relationships/hyperlink" Target="https://host.nxt.blackbaud.com/ledger/account/39?envid=p-4DQACL1xFUysOoaM89qH-g&amp;svcid=fenxt&amp;newWindow" TargetMode="External"/><Relationship Id="rId39" Type="http://schemas.openxmlformats.org/officeDocument/2006/relationships/hyperlink" Target="https://host.nxt.blackbaud.com/ledger/account/116?envid=p-4DQACL1xFUysOoaM89qH-g&amp;svcid=fenxt&amp;newWindow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89B1-43F5-478E-AFDC-A7C9BF8D4C0C}">
  <sheetPr>
    <tabColor theme="8" tint="0.79998168889431442"/>
  </sheetPr>
  <dimension ref="A1:L171"/>
  <sheetViews>
    <sheetView tabSelected="1" topLeftCell="B33" zoomScale="94" zoomScaleNormal="170" workbookViewId="0">
      <selection activeCell="L61" sqref="L61"/>
    </sheetView>
  </sheetViews>
  <sheetFormatPr defaultColWidth="9.140625" defaultRowHeight="12.75"/>
  <cols>
    <col min="1" max="1" width="19.7109375" style="96" customWidth="1"/>
    <col min="2" max="2" width="37.85546875" style="96" customWidth="1"/>
    <col min="3" max="6" width="14.5703125" style="101" customWidth="1"/>
    <col min="7" max="7" width="13" style="101" customWidth="1"/>
    <col min="8" max="10" width="14.5703125" style="101" customWidth="1"/>
    <col min="11" max="11" width="13.28515625" style="101" customWidth="1"/>
    <col min="12" max="12" width="77" style="136" customWidth="1"/>
    <col min="13" max="16384" width="9.140625" style="96"/>
  </cols>
  <sheetData>
    <row r="1" spans="1:12" ht="19.899999999999999" customHeight="1">
      <c r="A1" s="176" t="s">
        <v>157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19.899999999999999" customHeight="1">
      <c r="A2" s="176" t="s">
        <v>158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37"/>
    </row>
    <row r="3" spans="1:12" ht="16.899999999999999" customHeight="1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2" ht="9.1999999999999993" customHeight="1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2" ht="12.6" customHeight="1">
      <c r="C5" s="179" t="s">
        <v>159</v>
      </c>
      <c r="D5" s="179"/>
      <c r="E5" s="179"/>
      <c r="F5" s="179"/>
      <c r="G5" s="179"/>
      <c r="H5" s="179"/>
      <c r="I5" s="97"/>
      <c r="J5" s="138"/>
      <c r="K5" s="98" t="s">
        <v>160</v>
      </c>
    </row>
    <row r="6" spans="1:12" ht="21" customHeight="1">
      <c r="A6" s="99"/>
      <c r="B6" s="99"/>
      <c r="C6" s="141" t="s">
        <v>18</v>
      </c>
      <c r="D6" s="141" t="s">
        <v>19</v>
      </c>
      <c r="E6" s="141" t="s">
        <v>23</v>
      </c>
      <c r="F6" s="141" t="s">
        <v>26</v>
      </c>
      <c r="G6" s="141" t="s">
        <v>29</v>
      </c>
      <c r="H6" s="141" t="s">
        <v>44</v>
      </c>
      <c r="I6" s="142" t="s">
        <v>161</v>
      </c>
      <c r="J6" s="143" t="s">
        <v>376</v>
      </c>
      <c r="K6" s="100" t="s">
        <v>156</v>
      </c>
    </row>
    <row r="7" spans="1:12" ht="13.15" customHeight="1">
      <c r="A7" s="175" t="s">
        <v>162</v>
      </c>
      <c r="B7" s="175"/>
      <c r="E7" s="102" t="s">
        <v>163</v>
      </c>
      <c r="F7" s="102" t="s">
        <v>164</v>
      </c>
    </row>
    <row r="8" spans="1:12" ht="13.15" customHeight="1">
      <c r="A8" s="181" t="s">
        <v>165</v>
      </c>
      <c r="B8" s="181"/>
    </row>
    <row r="9" spans="1:12" ht="13.15" customHeight="1">
      <c r="A9" s="103" t="s">
        <v>166</v>
      </c>
      <c r="B9" s="103" t="s">
        <v>167</v>
      </c>
      <c r="C9" s="104">
        <f>582457.69-37452</f>
        <v>545005.68999999994</v>
      </c>
      <c r="D9" s="104">
        <f>474858.07-53843</f>
        <v>421015.07</v>
      </c>
      <c r="E9" s="104">
        <f>1031503.57-120178</f>
        <v>911325.57</v>
      </c>
      <c r="F9" s="104">
        <f>682826.7-39766</f>
        <v>643060.69999999995</v>
      </c>
      <c r="G9" s="104">
        <f>495149.7-88473</f>
        <v>406676.7</v>
      </c>
      <c r="H9" s="104">
        <f>496481.84-58119.05</f>
        <v>438362.79000000004</v>
      </c>
      <c r="I9" s="104">
        <v>870461.69</v>
      </c>
      <c r="J9" s="104">
        <f>946784.7-50752</f>
        <v>896032.7</v>
      </c>
      <c r="K9" s="104">
        <f>700000-K10</f>
        <v>649000</v>
      </c>
    </row>
    <row r="10" spans="1:12" ht="13.15" customHeight="1">
      <c r="A10" s="103"/>
      <c r="B10" s="105" t="s">
        <v>168</v>
      </c>
      <c r="C10" s="104">
        <v>37452</v>
      </c>
      <c r="D10" s="104">
        <v>53843</v>
      </c>
      <c r="E10" s="104">
        <v>120178</v>
      </c>
      <c r="F10" s="104">
        <v>39766</v>
      </c>
      <c r="G10" s="104">
        <v>88473</v>
      </c>
      <c r="H10" s="106">
        <v>58119.05</v>
      </c>
      <c r="I10" s="104"/>
      <c r="J10" s="106">
        <v>50752</v>
      </c>
      <c r="K10" s="106">
        <v>51000</v>
      </c>
    </row>
    <row r="11" spans="1:12" ht="13.15" customHeight="1">
      <c r="A11" s="103" t="s">
        <v>169</v>
      </c>
      <c r="B11" s="103" t="s">
        <v>170</v>
      </c>
      <c r="C11" s="104">
        <v>27521.35</v>
      </c>
      <c r="D11" s="104">
        <v>22304</v>
      </c>
      <c r="E11" s="104">
        <v>23796.39</v>
      </c>
      <c r="F11" s="104">
        <v>29720.14</v>
      </c>
      <c r="G11" s="104">
        <v>27950</v>
      </c>
      <c r="H11" s="104">
        <v>28374.34</v>
      </c>
      <c r="I11" s="104">
        <v>39611.699999999997</v>
      </c>
      <c r="J11" s="104">
        <v>44636.7</v>
      </c>
      <c r="K11" s="104">
        <v>30000</v>
      </c>
    </row>
    <row r="12" spans="1:12" ht="13.15" customHeight="1">
      <c r="A12" s="103" t="s">
        <v>171</v>
      </c>
      <c r="B12" s="103" t="s">
        <v>28</v>
      </c>
      <c r="C12" s="104">
        <v>0</v>
      </c>
      <c r="D12" s="104">
        <v>0</v>
      </c>
      <c r="E12" s="104">
        <v>0</v>
      </c>
      <c r="F12" s="104">
        <v>106559</v>
      </c>
      <c r="G12" s="104">
        <v>43755</v>
      </c>
      <c r="H12" s="104">
        <v>55997.5</v>
      </c>
      <c r="I12" s="104">
        <v>127720.22</v>
      </c>
      <c r="J12" s="104">
        <v>61193.22</v>
      </c>
      <c r="K12" s="104">
        <v>65000</v>
      </c>
    </row>
    <row r="13" spans="1:12" ht="13.15" customHeight="1">
      <c r="A13" s="103" t="s">
        <v>172</v>
      </c>
      <c r="B13" s="103" t="s">
        <v>95</v>
      </c>
      <c r="C13" s="104">
        <v>383425.01</v>
      </c>
      <c r="D13" s="104">
        <v>79000</v>
      </c>
      <c r="E13" s="104">
        <v>274000</v>
      </c>
      <c r="F13" s="104">
        <v>2274000</v>
      </c>
      <c r="G13" s="104">
        <v>162000</v>
      </c>
      <c r="H13" s="104">
        <v>11100</v>
      </c>
      <c r="I13" s="104">
        <v>10000</v>
      </c>
      <c r="J13" s="104">
        <v>10000</v>
      </c>
      <c r="K13" s="135">
        <f>'20-4100 CC old and new'!J61</f>
        <v>510000</v>
      </c>
    </row>
    <row r="14" spans="1:12" ht="13.15" customHeight="1">
      <c r="A14" s="103" t="s">
        <v>173</v>
      </c>
      <c r="B14" s="103" t="s">
        <v>174</v>
      </c>
      <c r="C14" s="104">
        <v>74220</v>
      </c>
      <c r="D14" s="104">
        <v>118512.42</v>
      </c>
      <c r="E14" s="104">
        <v>39427</v>
      </c>
      <c r="F14" s="104">
        <v>47358</v>
      </c>
      <c r="G14" s="104">
        <v>182287.5</v>
      </c>
      <c r="H14" s="104">
        <v>382093.15</v>
      </c>
      <c r="I14" s="104">
        <v>711429.81</v>
      </c>
      <c r="J14" s="104">
        <v>743710.59</v>
      </c>
      <c r="K14" s="104">
        <v>600000</v>
      </c>
    </row>
    <row r="15" spans="1:12" ht="13.15" customHeight="1">
      <c r="A15" s="103" t="s">
        <v>175</v>
      </c>
      <c r="B15" s="103" t="s">
        <v>176</v>
      </c>
      <c r="C15" s="104">
        <v>4421.45</v>
      </c>
      <c r="D15" s="104">
        <v>5248.49</v>
      </c>
      <c r="E15" s="104">
        <v>17755.5</v>
      </c>
      <c r="F15" s="104">
        <v>3859.6</v>
      </c>
      <c r="G15" s="104">
        <v>51282.239999999998</v>
      </c>
      <c r="H15" s="104">
        <v>180650.62</v>
      </c>
      <c r="I15" s="104">
        <v>45032.09</v>
      </c>
      <c r="J15" s="104">
        <v>45258.09</v>
      </c>
      <c r="K15" s="104">
        <v>50000</v>
      </c>
    </row>
    <row r="16" spans="1:12" ht="13.15" customHeight="1">
      <c r="A16" s="103" t="s">
        <v>177</v>
      </c>
      <c r="B16" s="103" t="s">
        <v>178</v>
      </c>
      <c r="C16" s="104">
        <v>55469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/>
      <c r="J16" s="104"/>
      <c r="K16" s="104"/>
    </row>
    <row r="17" spans="1:11" ht="13.15" customHeight="1">
      <c r="A17" s="103" t="s">
        <v>179</v>
      </c>
      <c r="B17" s="103" t="s">
        <v>180</v>
      </c>
      <c r="C17" s="104">
        <v>11305</v>
      </c>
      <c r="D17" s="104">
        <v>11305</v>
      </c>
      <c r="E17" s="104">
        <v>10790.05</v>
      </c>
      <c r="F17" s="104">
        <v>9687.5</v>
      </c>
      <c r="G17" s="104">
        <v>14487.5</v>
      </c>
      <c r="H17" s="104">
        <v>9687.5</v>
      </c>
      <c r="I17" s="104">
        <v>9687.5</v>
      </c>
      <c r="J17" s="104">
        <v>9687.5</v>
      </c>
      <c r="K17" s="104">
        <v>9688</v>
      </c>
    </row>
    <row r="18" spans="1:11" ht="12" customHeight="1">
      <c r="C18" s="107">
        <v>1138819.5</v>
      </c>
      <c r="D18" s="107">
        <v>711227.98</v>
      </c>
      <c r="E18" s="107">
        <v>1397272.51</v>
      </c>
      <c r="F18" s="107">
        <v>3154010.94</v>
      </c>
      <c r="G18" s="107">
        <v>976911.94</v>
      </c>
      <c r="H18" s="107">
        <v>1164384.95</v>
      </c>
      <c r="I18" s="107">
        <f>SUM(I9:I17)</f>
        <v>1813943.01</v>
      </c>
      <c r="J18" s="107">
        <f>SUM(J9:J17)</f>
        <v>1861270.8</v>
      </c>
      <c r="K18" s="107">
        <f>SUM(K9:K17)</f>
        <v>1964688</v>
      </c>
    </row>
    <row r="19" spans="1:11" ht="13.15" customHeight="1">
      <c r="A19" s="181" t="s">
        <v>181</v>
      </c>
      <c r="B19" s="181"/>
    </row>
    <row r="20" spans="1:11" ht="13.15" customHeight="1">
      <c r="A20" s="103" t="s">
        <v>182</v>
      </c>
      <c r="B20" s="103" t="s">
        <v>183</v>
      </c>
      <c r="C20" s="104">
        <v>143857.06</v>
      </c>
      <c r="D20" s="104">
        <v>86170</v>
      </c>
      <c r="E20" s="104">
        <v>25775</v>
      </c>
      <c r="F20" s="104">
        <v>116457.55</v>
      </c>
      <c r="G20" s="104">
        <v>129499</v>
      </c>
      <c r="H20" s="104">
        <v>423836.15</v>
      </c>
      <c r="I20" s="104">
        <v>245933.02</v>
      </c>
      <c r="J20" s="104">
        <v>248433.02</v>
      </c>
      <c r="K20" s="104">
        <v>250000</v>
      </c>
    </row>
    <row r="21" spans="1:11" ht="12" customHeight="1">
      <c r="C21" s="107">
        <v>143857.06</v>
      </c>
      <c r="D21" s="107">
        <v>86170</v>
      </c>
      <c r="E21" s="107">
        <v>25775</v>
      </c>
      <c r="F21" s="107">
        <v>116457.55</v>
      </c>
      <c r="G21" s="107">
        <v>129499</v>
      </c>
      <c r="H21" s="107">
        <v>423836.15</v>
      </c>
      <c r="I21" s="107">
        <f>SUM(I20)</f>
        <v>245933.02</v>
      </c>
      <c r="J21" s="107">
        <f>SUM(J20)</f>
        <v>248433.02</v>
      </c>
      <c r="K21" s="107">
        <f>SUM(K20)</f>
        <v>250000</v>
      </c>
    </row>
    <row r="22" spans="1:11" ht="13.15" customHeight="1">
      <c r="A22" s="181" t="s">
        <v>184</v>
      </c>
      <c r="B22" s="181"/>
    </row>
    <row r="23" spans="1:11" ht="13.15" customHeight="1">
      <c r="A23" s="103" t="s">
        <v>185</v>
      </c>
      <c r="B23" s="103" t="s">
        <v>186</v>
      </c>
      <c r="C23" s="104">
        <v>11163.93</v>
      </c>
      <c r="D23" s="104">
        <v>48026.57</v>
      </c>
      <c r="E23" s="104">
        <v>12877.99</v>
      </c>
      <c r="F23" s="104">
        <v>41612.839999999997</v>
      </c>
      <c r="G23" s="104">
        <v>6067.06</v>
      </c>
      <c r="H23" s="104">
        <v>1885.83</v>
      </c>
      <c r="I23" s="104">
        <v>125676.48</v>
      </c>
      <c r="J23" s="104">
        <v>125676.48</v>
      </c>
      <c r="K23" s="104">
        <v>50000</v>
      </c>
    </row>
    <row r="24" spans="1:11" ht="13.15" customHeight="1">
      <c r="A24" s="103" t="s">
        <v>187</v>
      </c>
      <c r="B24" s="103" t="s">
        <v>188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98500.13</v>
      </c>
      <c r="I24" s="104"/>
      <c r="J24" s="104"/>
      <c r="K24" s="104"/>
    </row>
    <row r="25" spans="1:11" ht="12" customHeight="1">
      <c r="C25" s="107">
        <v>11163.93</v>
      </c>
      <c r="D25" s="107">
        <v>48026.57</v>
      </c>
      <c r="E25" s="107">
        <v>12877.99</v>
      </c>
      <c r="F25" s="107">
        <v>41612.839999999997</v>
      </c>
      <c r="G25" s="107">
        <v>6067.06</v>
      </c>
      <c r="H25" s="107">
        <v>100385.96</v>
      </c>
      <c r="I25" s="107">
        <f>SUM(I23:I24)</f>
        <v>125676.48</v>
      </c>
      <c r="J25" s="107">
        <f>SUM(J23:J24)</f>
        <v>125676.48</v>
      </c>
      <c r="K25" s="107">
        <f>SUM(K23:K24)</f>
        <v>50000</v>
      </c>
    </row>
    <row r="26" spans="1:11" ht="13.15" customHeight="1">
      <c r="A26" s="181" t="s">
        <v>189</v>
      </c>
      <c r="B26" s="181"/>
    </row>
    <row r="27" spans="1:11" ht="13.15" customHeight="1">
      <c r="A27" s="108" t="s">
        <v>190</v>
      </c>
      <c r="B27" s="103" t="s">
        <v>191</v>
      </c>
      <c r="C27" s="104">
        <v>24662</v>
      </c>
      <c r="D27" s="104"/>
      <c r="E27" s="104"/>
      <c r="F27" s="104"/>
      <c r="G27" s="104"/>
      <c r="H27" s="104"/>
      <c r="I27" s="104"/>
      <c r="J27" s="104"/>
      <c r="K27" s="104"/>
    </row>
    <row r="28" spans="1:11" ht="13.15" customHeight="1">
      <c r="A28" s="108" t="s">
        <v>192</v>
      </c>
      <c r="B28" s="103" t="s">
        <v>193</v>
      </c>
      <c r="C28" s="104"/>
      <c r="D28" s="104">
        <v>41010</v>
      </c>
      <c r="E28" s="104">
        <v>32780</v>
      </c>
      <c r="F28" s="104">
        <v>30934</v>
      </c>
      <c r="G28" s="104"/>
      <c r="H28" s="104"/>
      <c r="I28" s="104"/>
      <c r="J28" s="104"/>
      <c r="K28" s="104"/>
    </row>
    <row r="29" spans="1:11" ht="13.15" customHeight="1">
      <c r="A29" s="108" t="s">
        <v>194</v>
      </c>
      <c r="B29" s="103" t="s">
        <v>195</v>
      </c>
      <c r="C29" s="104">
        <v>388485</v>
      </c>
      <c r="D29" s="104">
        <v>476079</v>
      </c>
      <c r="E29" s="104">
        <v>125471</v>
      </c>
      <c r="F29" s="104">
        <v>10585</v>
      </c>
      <c r="G29" s="104">
        <v>500870</v>
      </c>
      <c r="H29" s="104">
        <v>630153</v>
      </c>
      <c r="I29" s="104">
        <v>1007329</v>
      </c>
      <c r="J29" s="104">
        <v>1055029.18</v>
      </c>
      <c r="K29" s="104">
        <v>1100000</v>
      </c>
    </row>
    <row r="30" spans="1:11" ht="13.15" customHeight="1">
      <c r="A30" s="108" t="s">
        <v>196</v>
      </c>
      <c r="B30" s="103" t="s">
        <v>197</v>
      </c>
      <c r="C30" s="104">
        <v>209215</v>
      </c>
      <c r="D30" s="104">
        <v>152932</v>
      </c>
      <c r="E30" s="104">
        <v>24960</v>
      </c>
      <c r="F30" s="104">
        <v>202435</v>
      </c>
      <c r="G30" s="104">
        <v>245695</v>
      </c>
      <c r="H30" s="104">
        <v>340444</v>
      </c>
      <c r="I30" s="104">
        <v>431798</v>
      </c>
      <c r="J30" s="104">
        <f>431798+28327</f>
        <v>460125</v>
      </c>
      <c r="K30" s="104">
        <v>500000</v>
      </c>
    </row>
    <row r="31" spans="1:11" ht="13.15" customHeight="1">
      <c r="A31" s="108" t="s">
        <v>198</v>
      </c>
      <c r="B31" s="103" t="s">
        <v>199</v>
      </c>
      <c r="C31" s="104" t="s">
        <v>200</v>
      </c>
      <c r="D31" s="104"/>
      <c r="E31" s="104"/>
      <c r="F31" s="104"/>
      <c r="G31" s="104"/>
      <c r="H31" s="104">
        <v>25166</v>
      </c>
      <c r="I31" s="104">
        <v>26126</v>
      </c>
      <c r="J31" s="104">
        <v>26126</v>
      </c>
      <c r="K31" s="104">
        <v>30000</v>
      </c>
    </row>
    <row r="32" spans="1:11" ht="13.15" customHeight="1">
      <c r="A32" s="108" t="s">
        <v>201</v>
      </c>
      <c r="B32" s="103" t="s">
        <v>202</v>
      </c>
      <c r="C32" s="104">
        <v>13855</v>
      </c>
      <c r="D32" s="104">
        <v>5711</v>
      </c>
      <c r="E32" s="104"/>
      <c r="F32" s="104"/>
      <c r="G32" s="104"/>
      <c r="H32" s="104"/>
      <c r="I32" s="104"/>
      <c r="J32" s="104"/>
      <c r="K32" s="104"/>
    </row>
    <row r="33" spans="1:11" ht="13.15" customHeight="1">
      <c r="A33" s="108" t="s">
        <v>203</v>
      </c>
      <c r="B33" s="103" t="s">
        <v>204</v>
      </c>
      <c r="C33" s="104"/>
      <c r="D33" s="104">
        <v>61100</v>
      </c>
      <c r="E33" s="104">
        <v>25770</v>
      </c>
      <c r="F33" s="104"/>
      <c r="G33" s="104"/>
      <c r="H33" s="104"/>
      <c r="I33" s="104"/>
      <c r="J33" s="104"/>
      <c r="K33" s="104"/>
    </row>
    <row r="34" spans="1:11" ht="13.15" customHeight="1">
      <c r="A34" s="108" t="s">
        <v>205</v>
      </c>
      <c r="B34" s="103" t="s">
        <v>206</v>
      </c>
      <c r="C34" s="104" t="s">
        <v>207</v>
      </c>
      <c r="D34" s="104">
        <v>57005</v>
      </c>
      <c r="E34" s="104"/>
      <c r="F34" s="104"/>
      <c r="G34" s="104"/>
      <c r="H34" s="104">
        <v>115305</v>
      </c>
      <c r="I34" s="104">
        <v>128330</v>
      </c>
      <c r="J34" s="104">
        <v>128330</v>
      </c>
      <c r="K34" s="104">
        <v>60000</v>
      </c>
    </row>
    <row r="35" spans="1:11" ht="13.15" customHeight="1">
      <c r="A35" s="108" t="s">
        <v>208</v>
      </c>
      <c r="B35" s="103" t="s">
        <v>209</v>
      </c>
      <c r="C35" s="104">
        <v>148940</v>
      </c>
      <c r="D35" s="104"/>
      <c r="E35" s="104">
        <v>15160</v>
      </c>
      <c r="F35" s="104">
        <f>10040+25325</f>
        <v>35365</v>
      </c>
      <c r="G35" s="104"/>
      <c r="H35" s="104"/>
      <c r="I35" s="104"/>
      <c r="J35" s="104"/>
      <c r="K35" s="104"/>
    </row>
    <row r="36" spans="1:11" ht="13.15" customHeight="1">
      <c r="A36" s="108" t="s">
        <v>210</v>
      </c>
      <c r="B36" s="103" t="s">
        <v>211</v>
      </c>
      <c r="C36" s="104"/>
      <c r="D36" s="104"/>
      <c r="E36" s="104"/>
      <c r="F36" s="104"/>
      <c r="G36" s="104">
        <v>20493</v>
      </c>
      <c r="H36" s="104">
        <v>13132</v>
      </c>
      <c r="I36" s="104">
        <v>6863</v>
      </c>
      <c r="J36" s="104">
        <f>6863+2500</f>
        <v>9363</v>
      </c>
      <c r="K36" s="104"/>
    </row>
    <row r="37" spans="1:11" ht="13.15" customHeight="1">
      <c r="A37" s="108" t="s">
        <v>212</v>
      </c>
      <c r="B37" s="103" t="s">
        <v>213</v>
      </c>
      <c r="C37" s="104"/>
      <c r="D37" s="104"/>
      <c r="E37" s="104"/>
      <c r="F37" s="104"/>
      <c r="G37" s="104">
        <v>42242</v>
      </c>
      <c r="H37" s="104">
        <v>105564</v>
      </c>
      <c r="I37" s="104">
        <v>65993</v>
      </c>
      <c r="J37" s="104">
        <v>65993</v>
      </c>
      <c r="K37" s="104">
        <v>115000</v>
      </c>
    </row>
    <row r="38" spans="1:11" ht="13.15" customHeight="1">
      <c r="A38" s="108" t="s">
        <v>214</v>
      </c>
      <c r="B38" s="103" t="s">
        <v>215</v>
      </c>
      <c r="C38" s="104"/>
      <c r="D38" s="104"/>
      <c r="E38" s="104"/>
      <c r="F38" s="104"/>
      <c r="G38" s="104"/>
      <c r="H38" s="104"/>
      <c r="I38" s="104"/>
      <c r="J38" s="104"/>
      <c r="K38" s="104">
        <v>60000</v>
      </c>
    </row>
    <row r="39" spans="1:11" ht="13.15" customHeight="1">
      <c r="A39" s="108" t="s">
        <v>216</v>
      </c>
      <c r="B39" s="103" t="s">
        <v>217</v>
      </c>
      <c r="C39" s="104"/>
      <c r="D39" s="104"/>
      <c r="E39" s="104"/>
      <c r="F39" s="106">
        <v>-21550</v>
      </c>
      <c r="G39" s="104"/>
      <c r="H39" s="104"/>
      <c r="I39" s="104"/>
      <c r="J39" s="104"/>
      <c r="K39" s="104"/>
    </row>
    <row r="40" spans="1:11" ht="13.15" customHeight="1">
      <c r="A40" s="103" t="s">
        <v>218</v>
      </c>
      <c r="B40" s="103" t="s">
        <v>219</v>
      </c>
      <c r="C40" s="104">
        <v>-156850</v>
      </c>
      <c r="D40" s="104"/>
      <c r="E40" s="104">
        <v>22033.83</v>
      </c>
      <c r="F40" s="104"/>
      <c r="G40" s="104"/>
      <c r="H40" s="104"/>
      <c r="I40" s="104"/>
      <c r="J40" s="104"/>
      <c r="K40" s="104"/>
    </row>
    <row r="41" spans="1:11" ht="12" customHeight="1">
      <c r="C41" s="107">
        <f t="shared" ref="C41:K41" si="0">SUM(C27:C40)</f>
        <v>628307</v>
      </c>
      <c r="D41" s="107">
        <f t="shared" si="0"/>
        <v>793837</v>
      </c>
      <c r="E41" s="107">
        <f t="shared" si="0"/>
        <v>246174.83000000002</v>
      </c>
      <c r="F41" s="107">
        <f t="shared" si="0"/>
        <v>257769</v>
      </c>
      <c r="G41" s="107">
        <f t="shared" si="0"/>
        <v>809300</v>
      </c>
      <c r="H41" s="107">
        <f t="shared" si="0"/>
        <v>1229764</v>
      </c>
      <c r="I41" s="107">
        <f t="shared" si="0"/>
        <v>1666439</v>
      </c>
      <c r="J41" s="107">
        <f t="shared" si="0"/>
        <v>1744966.18</v>
      </c>
      <c r="K41" s="107">
        <f t="shared" si="0"/>
        <v>1865000</v>
      </c>
    </row>
    <row r="42" spans="1:11" ht="13.15" customHeight="1">
      <c r="A42" s="181" t="s">
        <v>220</v>
      </c>
      <c r="B42" s="181"/>
    </row>
    <row r="43" spans="1:11" ht="13.15" customHeight="1">
      <c r="A43" s="103" t="s">
        <v>221</v>
      </c>
      <c r="B43" s="103" t="s">
        <v>222</v>
      </c>
      <c r="C43" s="104">
        <v>7387.44</v>
      </c>
      <c r="D43" s="104">
        <v>7239.2</v>
      </c>
      <c r="E43" s="104">
        <v>3907.77</v>
      </c>
      <c r="F43" s="104">
        <v>4587.7299999999996</v>
      </c>
      <c r="G43" s="104">
        <v>5740.52</v>
      </c>
      <c r="H43" s="104">
        <v>0</v>
      </c>
      <c r="I43" s="104"/>
      <c r="J43" s="104"/>
      <c r="K43" s="104">
        <v>0</v>
      </c>
    </row>
    <row r="44" spans="1:11" ht="13.15" customHeight="1">
      <c r="A44" s="103" t="s">
        <v>223</v>
      </c>
      <c r="B44" s="103" t="s">
        <v>224</v>
      </c>
      <c r="C44" s="104">
        <v>0</v>
      </c>
      <c r="D44" s="104">
        <v>0</v>
      </c>
      <c r="E44" s="104">
        <v>0</v>
      </c>
      <c r="F44" s="104">
        <v>0</v>
      </c>
      <c r="G44" s="104">
        <v>480.56</v>
      </c>
      <c r="H44" s="104">
        <v>3850.67</v>
      </c>
      <c r="I44" s="104">
        <v>5313.64</v>
      </c>
      <c r="J44" s="104">
        <v>5982.71</v>
      </c>
      <c r="K44" s="104">
        <v>6000</v>
      </c>
    </row>
    <row r="45" spans="1:11" ht="12" customHeight="1">
      <c r="C45" s="107">
        <v>7387.44</v>
      </c>
      <c r="D45" s="107">
        <v>7239.2</v>
      </c>
      <c r="E45" s="107">
        <v>3907.77</v>
      </c>
      <c r="F45" s="107">
        <v>4587.7299999999996</v>
      </c>
      <c r="G45" s="107">
        <v>6221.08</v>
      </c>
      <c r="H45" s="107">
        <v>3850.67</v>
      </c>
      <c r="I45" s="107">
        <f>SUM(I43:I44)</f>
        <v>5313.64</v>
      </c>
      <c r="J45" s="107">
        <f>SUM(J43:J44)</f>
        <v>5982.71</v>
      </c>
      <c r="K45" s="107">
        <f>SUM(K43:K44)</f>
        <v>6000</v>
      </c>
    </row>
    <row r="46" spans="1:11" ht="13.15" customHeight="1">
      <c r="A46" s="181" t="s">
        <v>225</v>
      </c>
      <c r="B46" s="181"/>
    </row>
    <row r="47" spans="1:11" ht="13.15" customHeight="1">
      <c r="A47" s="103" t="s">
        <v>226</v>
      </c>
      <c r="B47" s="103" t="s">
        <v>227</v>
      </c>
      <c r="C47" s="104">
        <v>4025.41</v>
      </c>
      <c r="D47" s="104">
        <v>4386.59</v>
      </c>
      <c r="E47" s="104">
        <v>8700.19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</row>
    <row r="48" spans="1:11" ht="12" customHeight="1">
      <c r="C48" s="107">
        <v>4025.41</v>
      </c>
      <c r="D48" s="107">
        <v>4386.59</v>
      </c>
      <c r="E48" s="107">
        <v>8700.19</v>
      </c>
      <c r="F48" s="107">
        <v>0</v>
      </c>
      <c r="G48" s="107">
        <v>0</v>
      </c>
      <c r="H48" s="107">
        <v>0</v>
      </c>
      <c r="I48" s="107">
        <f>SUM(I47)</f>
        <v>0</v>
      </c>
      <c r="J48" s="107">
        <f>SUM(J47)</f>
        <v>0</v>
      </c>
      <c r="K48" s="107">
        <v>0</v>
      </c>
    </row>
    <row r="49" spans="1:11" ht="13.15" customHeight="1">
      <c r="A49" s="181" t="s">
        <v>228</v>
      </c>
      <c r="B49" s="181"/>
    </row>
    <row r="50" spans="1:11" ht="13.15" customHeight="1">
      <c r="A50" s="103" t="s">
        <v>229</v>
      </c>
      <c r="B50" s="103" t="s">
        <v>230</v>
      </c>
      <c r="C50" s="104">
        <v>-312.26</v>
      </c>
      <c r="D50" s="104">
        <v>330.49</v>
      </c>
      <c r="E50" s="104">
        <v>66365.02</v>
      </c>
      <c r="F50" s="104">
        <v>307.18</v>
      </c>
      <c r="G50" s="104">
        <v>227.1</v>
      </c>
      <c r="H50" s="104">
        <v>5344</v>
      </c>
      <c r="I50" s="104"/>
      <c r="J50" s="104"/>
      <c r="K50" s="104">
        <v>0</v>
      </c>
    </row>
    <row r="51" spans="1:11" ht="13.15" customHeight="1">
      <c r="A51" s="103" t="s">
        <v>231</v>
      </c>
      <c r="B51" s="103" t="s">
        <v>232</v>
      </c>
      <c r="C51" s="104">
        <v>0</v>
      </c>
      <c r="D51" s="104">
        <v>0</v>
      </c>
      <c r="E51" s="104">
        <v>112882.6</v>
      </c>
      <c r="F51" s="104">
        <v>75630.94</v>
      </c>
      <c r="G51" s="104">
        <v>0</v>
      </c>
      <c r="H51" s="104">
        <v>0</v>
      </c>
      <c r="I51" s="104"/>
      <c r="J51" s="104"/>
      <c r="K51" s="104">
        <v>0</v>
      </c>
    </row>
    <row r="52" spans="1:11" ht="12" customHeight="1">
      <c r="C52" s="107">
        <v>-312.26</v>
      </c>
      <c r="D52" s="107">
        <v>330.49</v>
      </c>
      <c r="E52" s="107">
        <v>179247.62</v>
      </c>
      <c r="F52" s="107">
        <v>75938.12</v>
      </c>
      <c r="G52" s="107">
        <v>227.1</v>
      </c>
      <c r="H52" s="107">
        <v>5344</v>
      </c>
      <c r="I52" s="107">
        <f>SUM(I50:I51)</f>
        <v>0</v>
      </c>
      <c r="J52" s="107">
        <f>SUM(J50:J51)</f>
        <v>0</v>
      </c>
      <c r="K52" s="107">
        <v>0</v>
      </c>
    </row>
    <row r="53" spans="1:11" ht="13.15" customHeight="1">
      <c r="A53" s="181" t="s">
        <v>233</v>
      </c>
      <c r="B53" s="181"/>
    </row>
    <row r="54" spans="1:11" ht="13.15" customHeight="1">
      <c r="A54" s="103" t="s">
        <v>234</v>
      </c>
      <c r="B54" s="103" t="s">
        <v>235</v>
      </c>
      <c r="C54" s="104">
        <v>32700</v>
      </c>
      <c r="D54" s="104">
        <v>41900</v>
      </c>
      <c r="E54" s="104">
        <v>46000</v>
      </c>
      <c r="F54" s="104">
        <v>43650</v>
      </c>
      <c r="G54" s="104">
        <v>43450</v>
      </c>
      <c r="H54" s="104">
        <v>35000</v>
      </c>
      <c r="I54" s="104">
        <v>7500</v>
      </c>
      <c r="J54" s="104">
        <v>7500</v>
      </c>
      <c r="K54" s="104">
        <v>42500</v>
      </c>
    </row>
    <row r="55" spans="1:11" ht="13.15" customHeight="1">
      <c r="A55" s="103" t="s">
        <v>236</v>
      </c>
      <c r="B55" s="103" t="s">
        <v>237</v>
      </c>
      <c r="C55" s="104">
        <v>21666.67</v>
      </c>
      <c r="D55" s="104">
        <v>6666.67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/>
      <c r="K55" s="104">
        <v>0</v>
      </c>
    </row>
    <row r="56" spans="1:11" ht="12" customHeight="1">
      <c r="C56" s="107">
        <v>54366.67</v>
      </c>
      <c r="D56" s="107">
        <v>48566.67</v>
      </c>
      <c r="E56" s="107">
        <v>46000</v>
      </c>
      <c r="F56" s="107">
        <v>43650</v>
      </c>
      <c r="G56" s="107">
        <v>43450</v>
      </c>
      <c r="H56" s="107">
        <v>35000</v>
      </c>
      <c r="I56" s="107">
        <f>SUM(I54:I55)</f>
        <v>7500</v>
      </c>
      <c r="J56" s="107">
        <f>SUM(J54:J55)</f>
        <v>7500</v>
      </c>
      <c r="K56" s="107">
        <f>SUM(K54:K55)</f>
        <v>42500</v>
      </c>
    </row>
    <row r="57" spans="1:11" ht="13.35" customHeight="1"/>
    <row r="58" spans="1:11" ht="13.15" customHeight="1">
      <c r="A58" s="181" t="s">
        <v>238</v>
      </c>
      <c r="B58" s="181"/>
    </row>
    <row r="59" spans="1:11" ht="13.15" customHeight="1">
      <c r="A59" s="103" t="s">
        <v>239</v>
      </c>
      <c r="B59" s="103" t="s">
        <v>240</v>
      </c>
      <c r="C59" s="104">
        <v>150045.62</v>
      </c>
      <c r="D59" s="104">
        <v>265274.09000000003</v>
      </c>
      <c r="E59" s="104">
        <v>174973.83</v>
      </c>
      <c r="F59" s="104">
        <v>125826.23</v>
      </c>
      <c r="G59" s="104">
        <v>300402.28999999998</v>
      </c>
      <c r="H59" s="104">
        <v>700270.86</v>
      </c>
      <c r="I59" s="104">
        <v>628447.97</v>
      </c>
      <c r="J59" s="106">
        <f>I59</f>
        <v>628447.97</v>
      </c>
      <c r="K59" s="150">
        <f>'Investment revenue'!F7+'Investment revenue'!F12+'Investment revenue'!F14</f>
        <v>389731</v>
      </c>
    </row>
    <row r="60" spans="1:11" ht="13.15" customHeight="1">
      <c r="A60" s="103" t="s">
        <v>241</v>
      </c>
      <c r="B60" s="103" t="s">
        <v>242</v>
      </c>
      <c r="C60" s="104">
        <v>3905.07</v>
      </c>
      <c r="D60" s="104">
        <v>1439.4</v>
      </c>
      <c r="E60" s="104">
        <v>776.29</v>
      </c>
      <c r="F60" s="104">
        <v>2021.29</v>
      </c>
      <c r="G60" s="104">
        <v>2691.23</v>
      </c>
      <c r="H60" s="104">
        <v>1539.62</v>
      </c>
      <c r="I60" s="104">
        <v>1380.79</v>
      </c>
      <c r="J60" s="104">
        <v>1380.79</v>
      </c>
      <c r="K60" s="104">
        <v>0</v>
      </c>
    </row>
    <row r="61" spans="1:11" ht="13.15" customHeight="1">
      <c r="A61" s="103" t="s">
        <v>243</v>
      </c>
      <c r="B61" s="103" t="s">
        <v>244</v>
      </c>
      <c r="C61" s="104">
        <v>2137.15</v>
      </c>
      <c r="D61" s="104">
        <v>4974.6000000000004</v>
      </c>
      <c r="E61" s="104">
        <v>6349.62</v>
      </c>
      <c r="F61" s="104">
        <v>5785.02</v>
      </c>
      <c r="G61" s="104">
        <v>5786.75</v>
      </c>
      <c r="H61" s="104">
        <v>6295.36</v>
      </c>
      <c r="I61" s="104">
        <v>7066.23</v>
      </c>
      <c r="J61" s="104">
        <v>7066.23</v>
      </c>
      <c r="K61" s="150">
        <f>'Investment revenue'!F13</f>
        <v>26400</v>
      </c>
    </row>
    <row r="62" spans="1:11" ht="13.15" customHeight="1">
      <c r="A62" s="103" t="s">
        <v>245</v>
      </c>
      <c r="B62" s="103" t="s">
        <v>246</v>
      </c>
      <c r="C62" s="104">
        <v>6697.89</v>
      </c>
      <c r="D62" s="104">
        <v>-555.67999999999995</v>
      </c>
      <c r="E62" s="104">
        <v>-91.02</v>
      </c>
      <c r="F62" s="104">
        <v>-2729.01</v>
      </c>
      <c r="G62" s="104">
        <v>-250.72</v>
      </c>
      <c r="H62" s="104">
        <v>-2280.59</v>
      </c>
      <c r="I62" s="104">
        <v>-2517.8200000000002</v>
      </c>
      <c r="J62" s="104">
        <v>-2517.8200000000002</v>
      </c>
      <c r="K62" s="104">
        <v>0</v>
      </c>
    </row>
    <row r="63" spans="1:11" ht="13.15" customHeight="1">
      <c r="A63" s="103" t="s">
        <v>247</v>
      </c>
      <c r="B63" s="103" t="s">
        <v>248</v>
      </c>
      <c r="C63" s="104">
        <v>0</v>
      </c>
      <c r="D63" s="104">
        <v>114.72</v>
      </c>
      <c r="E63" s="104">
        <v>3805.8</v>
      </c>
      <c r="F63" s="104">
        <v>1995.56</v>
      </c>
      <c r="G63" s="104">
        <v>0</v>
      </c>
      <c r="H63" s="104">
        <v>0</v>
      </c>
      <c r="I63" s="104"/>
      <c r="J63" s="104"/>
      <c r="K63" s="104">
        <v>0</v>
      </c>
    </row>
    <row r="64" spans="1:11" ht="13.15" customHeight="1">
      <c r="A64" s="103" t="s">
        <v>249</v>
      </c>
      <c r="B64" s="103" t="s">
        <v>250</v>
      </c>
      <c r="C64" s="104">
        <v>-11522.22</v>
      </c>
      <c r="D64" s="104">
        <v>1.26</v>
      </c>
      <c r="E64" s="104">
        <v>0</v>
      </c>
      <c r="F64" s="104">
        <v>0</v>
      </c>
      <c r="G64" s="104">
        <v>0</v>
      </c>
      <c r="H64" s="104">
        <v>0</v>
      </c>
      <c r="I64" s="104">
        <v>198533.74</v>
      </c>
      <c r="J64" s="106">
        <f>I64</f>
        <v>198533.74</v>
      </c>
      <c r="K64" s="104">
        <v>0</v>
      </c>
    </row>
    <row r="65" spans="1:11" ht="12" customHeight="1">
      <c r="A65" s="181" t="s">
        <v>251</v>
      </c>
      <c r="B65" s="181"/>
      <c r="C65" s="107">
        <v>151263.51</v>
      </c>
      <c r="D65" s="107">
        <v>271248.39</v>
      </c>
      <c r="E65" s="107">
        <v>185814.52</v>
      </c>
      <c r="F65" s="107">
        <v>132899.09</v>
      </c>
      <c r="G65" s="107">
        <v>308629.55</v>
      </c>
      <c r="H65" s="107">
        <v>705825.25</v>
      </c>
      <c r="I65" s="107">
        <f>SUM(I59:I64)</f>
        <v>832910.91</v>
      </c>
      <c r="J65" s="107">
        <f>SUM(J59:J64)</f>
        <v>832910.91</v>
      </c>
      <c r="K65" s="107">
        <f>SUM(K59:K64)</f>
        <v>416131</v>
      </c>
    </row>
    <row r="66" spans="1:11" ht="12" customHeight="1">
      <c r="A66" s="103"/>
      <c r="B66" s="103"/>
      <c r="C66" s="109"/>
      <c r="D66" s="109"/>
      <c r="E66" s="109"/>
      <c r="F66" s="109"/>
      <c r="G66" s="109"/>
      <c r="H66" s="109"/>
      <c r="I66" s="109"/>
      <c r="J66" s="109"/>
      <c r="K66" s="109"/>
    </row>
    <row r="67" spans="1:11" ht="12.6" customHeight="1">
      <c r="A67" s="180" t="s">
        <v>252</v>
      </c>
      <c r="B67" s="180"/>
      <c r="C67" s="110">
        <f>C65+C56+C52+C48+C45+C41+C25+C21+C18</f>
        <v>2138878.2599999998</v>
      </c>
      <c r="D67" s="110">
        <f t="shared" ref="D67:H67" si="1">D65+D56+D52+D48+D45+D41+D25+D21+D18</f>
        <v>1971032.8900000001</v>
      </c>
      <c r="E67" s="110">
        <f t="shared" si="1"/>
        <v>2105770.4300000002</v>
      </c>
      <c r="F67" s="110">
        <f t="shared" si="1"/>
        <v>3826925.27</v>
      </c>
      <c r="G67" s="110">
        <f t="shared" si="1"/>
        <v>2280305.73</v>
      </c>
      <c r="H67" s="110">
        <f t="shared" si="1"/>
        <v>3668390.9799999995</v>
      </c>
      <c r="I67" s="111">
        <f>I65+I56+I52+I48+I45+I41+I25+I21+I18</f>
        <v>4697716.0599999996</v>
      </c>
      <c r="J67" s="111">
        <f>J65+J56+J52+J48+J45+J41+J25+J21+J18</f>
        <v>4826740.0999999996</v>
      </c>
      <c r="K67" s="112">
        <f>K65+K56+K52+K48+K45+K41+K25+K21+K18</f>
        <v>4594319</v>
      </c>
    </row>
    <row r="68" spans="1:11" ht="13.35" customHeight="1"/>
    <row r="69" spans="1:11" ht="13.15" customHeight="1">
      <c r="A69" s="175" t="s">
        <v>253</v>
      </c>
      <c r="B69" s="175"/>
    </row>
    <row r="70" spans="1:11" ht="13.15" customHeight="1">
      <c r="A70" s="181" t="s">
        <v>254</v>
      </c>
      <c r="B70" s="181"/>
    </row>
    <row r="71" spans="1:11" ht="13.15" customHeight="1">
      <c r="A71" s="103" t="s">
        <v>255</v>
      </c>
      <c r="B71" s="103" t="s">
        <v>256</v>
      </c>
      <c r="C71" s="104">
        <v>8340.0499999999993</v>
      </c>
      <c r="D71" s="104">
        <v>9489.02</v>
      </c>
      <c r="E71" s="104">
        <v>9437.2900000000009</v>
      </c>
      <c r="F71" s="104">
        <v>9303.85</v>
      </c>
      <c r="G71" s="104">
        <v>6382.61</v>
      </c>
      <c r="H71" s="104">
        <v>17172.240000000002</v>
      </c>
      <c r="I71" s="104">
        <v>6244.63</v>
      </c>
      <c r="J71" s="104">
        <v>7568.64</v>
      </c>
      <c r="K71" s="106">
        <v>7000</v>
      </c>
    </row>
    <row r="72" spans="1:11" ht="13.15" customHeight="1">
      <c r="A72" s="103" t="s">
        <v>257</v>
      </c>
      <c r="B72" s="103" t="s">
        <v>258</v>
      </c>
      <c r="C72" s="104">
        <v>22654.5</v>
      </c>
      <c r="D72" s="104">
        <v>40443.64</v>
      </c>
      <c r="E72" s="104">
        <v>31604.91</v>
      </c>
      <c r="F72" s="104">
        <v>18677.25</v>
      </c>
      <c r="G72" s="104">
        <v>67894.22</v>
      </c>
      <c r="H72" s="104">
        <v>35729.019999999997</v>
      </c>
      <c r="I72" s="104">
        <v>26226.86</v>
      </c>
      <c r="J72" s="104">
        <v>26226.86</v>
      </c>
      <c r="K72" s="106">
        <v>30000</v>
      </c>
    </row>
    <row r="73" spans="1:11" ht="13.15" customHeight="1">
      <c r="A73" s="103" t="s">
        <v>259</v>
      </c>
      <c r="B73" s="103" t="s">
        <v>0</v>
      </c>
      <c r="C73" s="104">
        <v>28827.01</v>
      </c>
      <c r="D73" s="104">
        <v>31652.52</v>
      </c>
      <c r="E73" s="104">
        <v>24950.12</v>
      </c>
      <c r="F73" s="104">
        <v>44350.89</v>
      </c>
      <c r="G73" s="104">
        <v>27919.65</v>
      </c>
      <c r="H73" s="104">
        <v>29695.86</v>
      </c>
      <c r="I73" s="104">
        <v>26795.22</v>
      </c>
      <c r="J73" s="104">
        <v>26795.22</v>
      </c>
      <c r="K73" s="106">
        <v>30000</v>
      </c>
    </row>
    <row r="74" spans="1:11" ht="13.15" customHeight="1">
      <c r="A74" s="103" t="s">
        <v>260</v>
      </c>
      <c r="B74" s="103" t="s">
        <v>261</v>
      </c>
      <c r="C74" s="104">
        <v>21276.97</v>
      </c>
      <c r="D74" s="104">
        <v>7827.56</v>
      </c>
      <c r="E74" s="104">
        <v>7235.21</v>
      </c>
      <c r="F74" s="104">
        <v>20829.84</v>
      </c>
      <c r="G74" s="104">
        <v>18658.41</v>
      </c>
      <c r="H74" s="104">
        <v>21292.63</v>
      </c>
      <c r="I74" s="104">
        <v>12339.77</v>
      </c>
      <c r="J74" s="104">
        <v>16197.41</v>
      </c>
      <c r="K74" s="150">
        <f>'10-5120 publicity'!F9</f>
        <v>23500</v>
      </c>
    </row>
    <row r="75" spans="1:11" ht="13.15" customHeight="1">
      <c r="A75" s="103" t="s">
        <v>262</v>
      </c>
      <c r="B75" s="103" t="s">
        <v>263</v>
      </c>
      <c r="C75" s="104">
        <v>7835.83</v>
      </c>
      <c r="D75" s="104">
        <v>6537.79</v>
      </c>
      <c r="E75" s="104">
        <v>0</v>
      </c>
      <c r="F75" s="104">
        <v>0</v>
      </c>
      <c r="G75" s="104">
        <v>0</v>
      </c>
      <c r="H75" s="104">
        <v>17965.259999999998</v>
      </c>
      <c r="I75" s="104"/>
      <c r="J75" s="104"/>
      <c r="K75" s="150">
        <f>'10-5125 Marketing Materials-MC'!C20</f>
        <v>160000</v>
      </c>
    </row>
    <row r="76" spans="1:11" ht="13.15" customHeight="1">
      <c r="A76" s="103" t="s">
        <v>264</v>
      </c>
      <c r="B76" s="103" t="s">
        <v>265</v>
      </c>
      <c r="C76" s="104">
        <v>66016.7</v>
      </c>
      <c r="D76" s="104">
        <v>9831.09</v>
      </c>
      <c r="E76" s="104">
        <v>941.79</v>
      </c>
      <c r="F76" s="104">
        <v>3057.68</v>
      </c>
      <c r="G76" s="104">
        <v>10364.11</v>
      </c>
      <c r="H76" s="104">
        <v>4973.95</v>
      </c>
      <c r="I76" s="104">
        <v>14893.22</v>
      </c>
      <c r="J76" s="104">
        <v>16431.36</v>
      </c>
      <c r="K76" s="150">
        <f>'10-5130 Donor recognition'!C6</f>
        <v>20000</v>
      </c>
    </row>
    <row r="77" spans="1:11" ht="13.15" customHeight="1">
      <c r="A77" s="103" t="s">
        <v>266</v>
      </c>
      <c r="B77" s="103" t="s">
        <v>267</v>
      </c>
      <c r="C77" s="104">
        <v>15971.76</v>
      </c>
      <c r="D77" s="104">
        <v>20435.61</v>
      </c>
      <c r="E77" s="104">
        <v>12730.67</v>
      </c>
      <c r="F77" s="104">
        <v>13185.96</v>
      </c>
      <c r="G77" s="104">
        <v>24220.07</v>
      </c>
      <c r="H77" s="104">
        <v>31887.82</v>
      </c>
      <c r="I77" s="104">
        <v>36971.410000000003</v>
      </c>
      <c r="J77" s="104">
        <v>37043.17</v>
      </c>
      <c r="K77" s="106">
        <v>38000</v>
      </c>
    </row>
    <row r="78" spans="1:11" ht="12" customHeight="1">
      <c r="C78" s="107">
        <v>170922.82</v>
      </c>
      <c r="D78" s="107">
        <v>126217.23</v>
      </c>
      <c r="E78" s="107">
        <v>86899.99</v>
      </c>
      <c r="F78" s="107">
        <v>109405.47</v>
      </c>
      <c r="G78" s="107">
        <v>155439.07</v>
      </c>
      <c r="H78" s="107">
        <v>158716.78</v>
      </c>
      <c r="I78" s="107">
        <f>SUM(I71:I77)</f>
        <v>123471.11000000002</v>
      </c>
      <c r="J78" s="107">
        <f>SUM(J71:J77)</f>
        <v>130262.66</v>
      </c>
      <c r="K78" s="113">
        <f>SUM(K71:K77)</f>
        <v>308500</v>
      </c>
    </row>
    <row r="79" spans="1:11" ht="13.15" customHeight="1">
      <c r="A79" s="181" t="s">
        <v>268</v>
      </c>
      <c r="B79" s="181"/>
    </row>
    <row r="80" spans="1:11" ht="13.15" customHeight="1">
      <c r="A80" s="108" t="s">
        <v>269</v>
      </c>
      <c r="B80" s="103" t="s">
        <v>270</v>
      </c>
      <c r="C80" s="104">
        <v>14116</v>
      </c>
      <c r="D80" s="104"/>
      <c r="E80" s="104"/>
      <c r="F80" s="104"/>
      <c r="G80" s="104"/>
      <c r="H80" s="104"/>
      <c r="I80" s="104"/>
      <c r="J80" s="104"/>
      <c r="K80" s="106"/>
    </row>
    <row r="81" spans="1:12" ht="13.15" customHeight="1">
      <c r="A81" s="108" t="s">
        <v>271</v>
      </c>
      <c r="B81" s="103" t="s">
        <v>272</v>
      </c>
      <c r="C81" s="104"/>
      <c r="D81" s="104">
        <v>19712</v>
      </c>
      <c r="E81" s="104">
        <v>8957</v>
      </c>
      <c r="F81" s="104">
        <v>20309</v>
      </c>
      <c r="G81" s="104"/>
      <c r="H81" s="104"/>
      <c r="I81" s="104"/>
      <c r="J81" s="104"/>
      <c r="K81" s="106"/>
    </row>
    <row r="82" spans="1:12" ht="13.15" customHeight="1">
      <c r="A82" s="108" t="s">
        <v>273</v>
      </c>
      <c r="B82" s="103" t="s">
        <v>274</v>
      </c>
      <c r="C82" s="104">
        <v>117248</v>
      </c>
      <c r="D82" s="104">
        <v>134058</v>
      </c>
      <c r="E82" s="104"/>
      <c r="F82" s="104">
        <v>-749</v>
      </c>
      <c r="G82" s="104">
        <v>253975</v>
      </c>
      <c r="H82" s="104">
        <v>288316</v>
      </c>
      <c r="I82" s="104">
        <v>430666.23</v>
      </c>
      <c r="J82" s="104">
        <v>430666.23</v>
      </c>
      <c r="K82" s="106">
        <v>450000</v>
      </c>
    </row>
    <row r="83" spans="1:12" ht="13.15" customHeight="1">
      <c r="A83" s="108" t="s">
        <v>275</v>
      </c>
      <c r="B83" s="103" t="s">
        <v>276</v>
      </c>
      <c r="C83" s="104">
        <v>65374</v>
      </c>
      <c r="D83" s="104">
        <v>59810</v>
      </c>
      <c r="E83" s="104">
        <v>387</v>
      </c>
      <c r="F83" s="104">
        <v>84700</v>
      </c>
      <c r="G83" s="104">
        <v>82344</v>
      </c>
      <c r="H83" s="104">
        <v>118245</v>
      </c>
      <c r="I83" s="104">
        <v>124281.66</v>
      </c>
      <c r="J83" s="104">
        <v>124281.66</v>
      </c>
      <c r="K83" s="106">
        <v>130000</v>
      </c>
    </row>
    <row r="84" spans="1:12" ht="13.15" customHeight="1">
      <c r="A84" s="108" t="s">
        <v>277</v>
      </c>
      <c r="B84" s="103" t="s">
        <v>278</v>
      </c>
      <c r="C84" s="104"/>
      <c r="D84" s="104"/>
      <c r="E84" s="104"/>
      <c r="F84" s="104"/>
      <c r="G84" s="104"/>
      <c r="H84" s="104">
        <v>684</v>
      </c>
      <c r="I84" s="104">
        <v>986.57</v>
      </c>
      <c r="J84" s="104">
        <v>986.57</v>
      </c>
      <c r="K84" s="106">
        <v>1000</v>
      </c>
    </row>
    <row r="85" spans="1:12" ht="13.15" customHeight="1">
      <c r="A85" s="108" t="s">
        <v>279</v>
      </c>
      <c r="B85" s="103" t="s">
        <v>280</v>
      </c>
      <c r="C85" s="104">
        <v>3461</v>
      </c>
      <c r="D85" s="104">
        <v>1580</v>
      </c>
      <c r="E85" s="104"/>
      <c r="F85" s="104"/>
      <c r="G85" s="104"/>
      <c r="H85" s="104"/>
      <c r="I85" s="104"/>
      <c r="J85" s="104"/>
      <c r="K85" s="106"/>
    </row>
    <row r="86" spans="1:12" ht="13.15" customHeight="1">
      <c r="A86" s="108" t="s">
        <v>281</v>
      </c>
      <c r="B86" s="103" t="s">
        <v>282</v>
      </c>
      <c r="C86" s="104"/>
      <c r="D86" s="104">
        <v>6228</v>
      </c>
      <c r="E86" s="104">
        <v>519</v>
      </c>
      <c r="F86" s="104"/>
      <c r="G86" s="104"/>
      <c r="H86" s="104"/>
      <c r="I86" s="104"/>
      <c r="J86" s="104"/>
      <c r="K86" s="106"/>
    </row>
    <row r="87" spans="1:12" ht="13.15" customHeight="1">
      <c r="A87" s="108" t="s">
        <v>283</v>
      </c>
      <c r="B87" s="103" t="s">
        <v>284</v>
      </c>
      <c r="C87" s="104"/>
      <c r="D87" s="104"/>
      <c r="E87" s="104"/>
      <c r="F87" s="104"/>
      <c r="G87" s="104"/>
      <c r="H87" s="104">
        <v>31767</v>
      </c>
      <c r="I87" s="104">
        <v>47181.55</v>
      </c>
      <c r="J87" s="106">
        <v>106766.87</v>
      </c>
      <c r="K87" s="106">
        <v>36000</v>
      </c>
    </row>
    <row r="88" spans="1:12" ht="13.15" customHeight="1">
      <c r="A88" s="108" t="s">
        <v>285</v>
      </c>
      <c r="B88" s="103" t="s">
        <v>286</v>
      </c>
      <c r="C88" s="104">
        <v>-109</v>
      </c>
      <c r="D88" s="104">
        <v>380</v>
      </c>
      <c r="E88" s="104"/>
      <c r="F88" s="104">
        <f>6962+2771</f>
        <v>9733</v>
      </c>
      <c r="G88" s="104">
        <v>64</v>
      </c>
      <c r="H88" s="104">
        <v>150</v>
      </c>
      <c r="I88" s="104">
        <v>3846.94</v>
      </c>
      <c r="J88" s="104">
        <v>3846.94</v>
      </c>
      <c r="K88" s="106">
        <v>5000</v>
      </c>
    </row>
    <row r="89" spans="1:12" ht="13.15" customHeight="1">
      <c r="A89" s="108" t="s">
        <v>287</v>
      </c>
      <c r="B89" s="103" t="s">
        <v>288</v>
      </c>
      <c r="C89" s="104"/>
      <c r="D89" s="104"/>
      <c r="E89" s="104"/>
      <c r="F89" s="104"/>
      <c r="G89" s="104">
        <v>3049</v>
      </c>
      <c r="H89" s="104">
        <v>2932</v>
      </c>
      <c r="I89" s="104">
        <v>1120.58</v>
      </c>
      <c r="J89" s="104">
        <v>1120.58</v>
      </c>
      <c r="K89" s="106"/>
    </row>
    <row r="90" spans="1:12" ht="13.15" customHeight="1">
      <c r="A90" s="108" t="s">
        <v>289</v>
      </c>
      <c r="B90" s="103" t="s">
        <v>290</v>
      </c>
      <c r="C90" s="104"/>
      <c r="D90" s="104"/>
      <c r="E90" s="104"/>
      <c r="F90" s="104"/>
      <c r="G90" s="104">
        <v>6889</v>
      </c>
      <c r="H90" s="104">
        <v>17972</v>
      </c>
      <c r="I90" s="104">
        <v>14611.97</v>
      </c>
      <c r="J90" s="104">
        <v>14611.97</v>
      </c>
      <c r="K90" s="106">
        <v>20000</v>
      </c>
    </row>
    <row r="91" spans="1:12" ht="13.15" customHeight="1">
      <c r="A91" s="108" t="s">
        <v>291</v>
      </c>
      <c r="B91" s="103" t="s">
        <v>292</v>
      </c>
      <c r="C91" s="104"/>
      <c r="D91" s="104"/>
      <c r="E91" s="104"/>
      <c r="F91" s="104"/>
      <c r="G91" s="104"/>
      <c r="H91" s="104"/>
      <c r="I91" s="104"/>
      <c r="J91" s="104"/>
      <c r="K91" s="106">
        <v>25000</v>
      </c>
    </row>
    <row r="92" spans="1:12" ht="13.15" customHeight="1">
      <c r="A92" s="108" t="s">
        <v>293</v>
      </c>
      <c r="B92" s="103" t="s">
        <v>294</v>
      </c>
      <c r="C92" s="104"/>
      <c r="D92" s="104">
        <v>1450</v>
      </c>
      <c r="E92" s="104">
        <v>281</v>
      </c>
      <c r="F92" s="104">
        <v>1922</v>
      </c>
      <c r="G92" s="104">
        <v>10175</v>
      </c>
      <c r="H92" s="104">
        <v>4540</v>
      </c>
      <c r="I92" s="104">
        <v>607.6</v>
      </c>
      <c r="J92" s="104">
        <v>607.6</v>
      </c>
      <c r="K92" s="106">
        <v>600</v>
      </c>
    </row>
    <row r="93" spans="1:12" s="115" customFormat="1" ht="13.15" customHeight="1">
      <c r="A93" s="114"/>
      <c r="B93" s="114"/>
      <c r="C93" s="106"/>
      <c r="D93" s="106"/>
      <c r="E93" s="106"/>
      <c r="F93" s="106"/>
      <c r="G93" s="106"/>
      <c r="H93" s="106"/>
      <c r="I93" s="106"/>
      <c r="J93" s="106"/>
      <c r="K93" s="106"/>
      <c r="L93" s="137"/>
    </row>
    <row r="94" spans="1:12" ht="13.15" customHeight="1">
      <c r="A94" s="103"/>
      <c r="B94" s="103"/>
      <c r="C94" s="104"/>
      <c r="D94" s="104"/>
      <c r="E94" s="104"/>
      <c r="F94" s="104"/>
      <c r="G94" s="104"/>
      <c r="H94" s="104"/>
      <c r="I94" s="104"/>
      <c r="J94" s="104"/>
      <c r="K94" s="106"/>
    </row>
    <row r="95" spans="1:12" ht="13.15" customHeight="1">
      <c r="A95" s="103"/>
      <c r="B95" s="103"/>
      <c r="C95" s="104"/>
      <c r="D95" s="104"/>
      <c r="E95" s="104"/>
      <c r="F95" s="104"/>
      <c r="G95" s="104"/>
      <c r="H95" s="104"/>
      <c r="I95" s="104"/>
      <c r="J95" s="104"/>
      <c r="K95" s="106"/>
    </row>
    <row r="96" spans="1:12" ht="12" customHeight="1">
      <c r="C96" s="107">
        <f>SUM(C80:C95)</f>
        <v>200090</v>
      </c>
      <c r="D96" s="107">
        <f t="shared" ref="D96:K96" si="2">SUM(D80:D95)</f>
        <v>223218</v>
      </c>
      <c r="E96" s="107">
        <f t="shared" si="2"/>
        <v>10144</v>
      </c>
      <c r="F96" s="107">
        <f t="shared" si="2"/>
        <v>115915</v>
      </c>
      <c r="G96" s="107">
        <f t="shared" si="2"/>
        <v>356496</v>
      </c>
      <c r="H96" s="107">
        <f t="shared" si="2"/>
        <v>464606</v>
      </c>
      <c r="I96" s="107">
        <f t="shared" si="2"/>
        <v>623303.09999999986</v>
      </c>
      <c r="J96" s="107">
        <f t="shared" si="2"/>
        <v>682888.41999999981</v>
      </c>
      <c r="K96" s="107">
        <f t="shared" si="2"/>
        <v>667600</v>
      </c>
    </row>
    <row r="97" spans="1:11" ht="13.35" customHeight="1"/>
    <row r="98" spans="1:11" ht="13.15" customHeight="1">
      <c r="A98" s="181" t="s">
        <v>295</v>
      </c>
      <c r="B98" s="181"/>
    </row>
    <row r="99" spans="1:11" ht="13.15" customHeight="1">
      <c r="A99" s="103" t="s">
        <v>296</v>
      </c>
      <c r="B99" s="103" t="s">
        <v>297</v>
      </c>
      <c r="C99" s="104">
        <v>0</v>
      </c>
      <c r="D99" s="104">
        <v>0</v>
      </c>
      <c r="E99" s="104">
        <v>0</v>
      </c>
      <c r="F99" s="104">
        <v>20843.099999999999</v>
      </c>
      <c r="G99" s="104">
        <v>51282.239999999998</v>
      </c>
      <c r="H99" s="104">
        <v>50605.98</v>
      </c>
      <c r="I99" s="104">
        <v>39000.1</v>
      </c>
      <c r="J99" s="104">
        <v>39000.1</v>
      </c>
      <c r="K99" s="106">
        <v>45000</v>
      </c>
    </row>
    <row r="100" spans="1:11" ht="13.15" customHeight="1">
      <c r="A100" s="103" t="s">
        <v>298</v>
      </c>
      <c r="B100" s="103" t="s">
        <v>299</v>
      </c>
      <c r="C100" s="104">
        <v>0</v>
      </c>
      <c r="D100" s="104">
        <v>0</v>
      </c>
      <c r="E100" s="104">
        <v>0</v>
      </c>
      <c r="F100" s="104">
        <v>0</v>
      </c>
      <c r="G100" s="104">
        <v>0</v>
      </c>
      <c r="H100" s="104">
        <v>10044.64</v>
      </c>
      <c r="I100" s="104"/>
      <c r="J100" s="104"/>
      <c r="K100" s="106">
        <v>0</v>
      </c>
    </row>
    <row r="101" spans="1:11" ht="13.15" customHeight="1">
      <c r="A101" s="103" t="s">
        <v>300</v>
      </c>
      <c r="B101" s="103" t="s">
        <v>301</v>
      </c>
      <c r="C101" s="104">
        <v>55469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  <c r="I101" s="104"/>
      <c r="J101" s="104"/>
      <c r="K101" s="106">
        <v>0</v>
      </c>
    </row>
    <row r="102" spans="1:11" ht="13.15" customHeight="1">
      <c r="A102" s="103" t="s">
        <v>302</v>
      </c>
      <c r="B102" s="103" t="s">
        <v>303</v>
      </c>
      <c r="C102" s="104">
        <v>0</v>
      </c>
      <c r="D102" s="104">
        <v>0</v>
      </c>
      <c r="E102" s="104">
        <v>0</v>
      </c>
      <c r="F102" s="104">
        <v>429</v>
      </c>
      <c r="G102" s="104">
        <v>4800</v>
      </c>
      <c r="H102" s="104">
        <v>0</v>
      </c>
      <c r="K102" s="106">
        <v>0</v>
      </c>
    </row>
    <row r="103" spans="1:11" ht="13.15" customHeight="1">
      <c r="A103" s="103" t="s">
        <v>304</v>
      </c>
      <c r="B103" s="103" t="s">
        <v>305</v>
      </c>
      <c r="C103" s="104">
        <v>470.2</v>
      </c>
      <c r="D103" s="104">
        <v>5691.34</v>
      </c>
      <c r="E103" s="104">
        <v>4561.5</v>
      </c>
      <c r="F103" s="104">
        <v>8003.31</v>
      </c>
      <c r="G103" s="104">
        <v>-3014.63</v>
      </c>
      <c r="H103" s="104">
        <v>-830.54</v>
      </c>
      <c r="I103" s="104">
        <v>9687.5</v>
      </c>
      <c r="J103" s="104">
        <v>9687.5</v>
      </c>
      <c r="K103" s="106">
        <v>9688</v>
      </c>
    </row>
    <row r="104" spans="1:11" ht="12" customHeight="1">
      <c r="C104" s="107">
        <v>55939.199999999997</v>
      </c>
      <c r="D104" s="107">
        <v>5691.34</v>
      </c>
      <c r="E104" s="107">
        <v>4561.5</v>
      </c>
      <c r="F104" s="107">
        <v>29275.41</v>
      </c>
      <c r="G104" s="107">
        <v>53067.61</v>
      </c>
      <c r="H104" s="107">
        <v>59820.08</v>
      </c>
      <c r="I104" s="107">
        <f>SUM(I99:I103)</f>
        <v>48687.6</v>
      </c>
      <c r="J104" s="107">
        <f>SUM(J99:J103)</f>
        <v>48687.6</v>
      </c>
      <c r="K104" s="113">
        <f>SUM(K99:K103)</f>
        <v>54688</v>
      </c>
    </row>
    <row r="105" spans="1:11" ht="13.15" customHeight="1">
      <c r="A105" s="181" t="s">
        <v>306</v>
      </c>
      <c r="B105" s="181"/>
    </row>
    <row r="106" spans="1:11" ht="13.15" customHeight="1">
      <c r="A106" s="181" t="s">
        <v>307</v>
      </c>
      <c r="B106" s="181"/>
    </row>
    <row r="107" spans="1:11" ht="13.15" customHeight="1">
      <c r="A107" s="103" t="s">
        <v>308</v>
      </c>
      <c r="B107" s="103" t="s">
        <v>309</v>
      </c>
      <c r="C107" s="104">
        <v>506512.86</v>
      </c>
      <c r="D107" s="104">
        <v>577274.39</v>
      </c>
      <c r="E107" s="104">
        <v>492567.24</v>
      </c>
      <c r="F107" s="104">
        <v>621961.65</v>
      </c>
      <c r="G107" s="104">
        <v>588609.29</v>
      </c>
      <c r="H107" s="104">
        <v>657297.25</v>
      </c>
      <c r="I107" s="104">
        <v>512918.85</v>
      </c>
      <c r="J107" s="104">
        <v>546621.93999999994</v>
      </c>
      <c r="K107" s="106">
        <v>850000</v>
      </c>
    </row>
    <row r="108" spans="1:11" ht="13.15" customHeight="1">
      <c r="A108" s="103" t="s">
        <v>310</v>
      </c>
      <c r="B108" s="103" t="s">
        <v>311</v>
      </c>
      <c r="C108" s="104">
        <v>40260.660000000003</v>
      </c>
      <c r="D108" s="104">
        <v>45232.49</v>
      </c>
      <c r="E108" s="104">
        <v>37437.519999999997</v>
      </c>
      <c r="F108" s="104">
        <v>52042.84</v>
      </c>
      <c r="G108" s="104">
        <v>46741.03</v>
      </c>
      <c r="H108" s="104">
        <v>51266.96</v>
      </c>
      <c r="I108" s="104">
        <v>36238.410000000003</v>
      </c>
      <c r="J108" s="104">
        <v>38868.94</v>
      </c>
      <c r="K108" s="104">
        <v>0</v>
      </c>
    </row>
    <row r="109" spans="1:11" ht="13.15" customHeight="1">
      <c r="A109" s="103" t="s">
        <v>312</v>
      </c>
      <c r="B109" s="103" t="s">
        <v>313</v>
      </c>
      <c r="C109" s="104">
        <v>-8185.54</v>
      </c>
      <c r="D109" s="104">
        <v>-5405.44</v>
      </c>
      <c r="E109" s="104">
        <v>-4847.8599999999997</v>
      </c>
      <c r="F109" s="104">
        <v>-7369.03</v>
      </c>
      <c r="G109" s="104">
        <v>-7691.34</v>
      </c>
      <c r="H109" s="104">
        <v>-8547.66</v>
      </c>
      <c r="I109" s="104">
        <v>-6377.52</v>
      </c>
      <c r="J109" s="104">
        <v>-6653.6</v>
      </c>
      <c r="K109" s="104">
        <v>0</v>
      </c>
    </row>
    <row r="110" spans="1:11" ht="13.15" customHeight="1">
      <c r="A110" s="103" t="s">
        <v>314</v>
      </c>
      <c r="B110" s="103" t="s">
        <v>315</v>
      </c>
      <c r="C110" s="104">
        <v>-9578.7000000000007</v>
      </c>
      <c r="D110" s="104">
        <v>-12398.46</v>
      </c>
      <c r="E110" s="104">
        <v>-8830.5</v>
      </c>
      <c r="F110" s="104">
        <v>-11350.49</v>
      </c>
      <c r="G110" s="104">
        <v>-9730.1</v>
      </c>
      <c r="H110" s="104">
        <v>-10096.64</v>
      </c>
      <c r="I110" s="104">
        <v>-10679.71</v>
      </c>
      <c r="J110" s="104">
        <v>-11155.12</v>
      </c>
      <c r="K110" s="104">
        <v>0</v>
      </c>
    </row>
    <row r="111" spans="1:11" ht="13.15" customHeight="1">
      <c r="A111" s="103" t="s">
        <v>316</v>
      </c>
      <c r="B111" s="103" t="s">
        <v>317</v>
      </c>
      <c r="C111" s="104">
        <v>-305.22000000000003</v>
      </c>
      <c r="D111" s="104">
        <v>-161.99</v>
      </c>
      <c r="E111" s="104">
        <v>447.42</v>
      </c>
      <c r="F111" s="104">
        <v>-298.75</v>
      </c>
      <c r="G111" s="104">
        <v>-28.12</v>
      </c>
      <c r="H111" s="104">
        <v>-1221.8900000000001</v>
      </c>
      <c r="I111" s="104">
        <v>-1281.25</v>
      </c>
      <c r="J111" s="104">
        <v>93.75</v>
      </c>
      <c r="K111" s="104">
        <v>0</v>
      </c>
    </row>
    <row r="112" spans="1:11" ht="13.15" customHeight="1">
      <c r="A112" s="103" t="s">
        <v>318</v>
      </c>
      <c r="B112" s="103" t="s">
        <v>319</v>
      </c>
      <c r="C112" s="104">
        <v>33526.720000000001</v>
      </c>
      <c r="D112" s="104">
        <v>31370.69</v>
      </c>
      <c r="E112" s="104">
        <v>29608.799999999999</v>
      </c>
      <c r="F112" s="104">
        <v>32369.69</v>
      </c>
      <c r="G112" s="104">
        <v>29890.5</v>
      </c>
      <c r="H112" s="104">
        <v>32603.21</v>
      </c>
      <c r="I112" s="104">
        <v>29387.75</v>
      </c>
      <c r="J112" s="104">
        <v>29387.75</v>
      </c>
      <c r="K112" s="104">
        <v>0</v>
      </c>
    </row>
    <row r="113" spans="1:11" ht="13.15" customHeight="1">
      <c r="A113" s="103" t="s">
        <v>320</v>
      </c>
      <c r="B113" s="103" t="s">
        <v>321</v>
      </c>
      <c r="C113" s="104">
        <v>5120.58</v>
      </c>
      <c r="D113" s="104">
        <v>8332.9500000000007</v>
      </c>
      <c r="E113" s="104">
        <v>5292.88</v>
      </c>
      <c r="F113" s="104">
        <v>7158.63</v>
      </c>
      <c r="G113" s="104">
        <v>5981.88</v>
      </c>
      <c r="H113" s="104">
        <v>5675.9</v>
      </c>
      <c r="I113" s="104">
        <v>4086.94</v>
      </c>
      <c r="J113" s="104">
        <v>4648.17</v>
      </c>
      <c r="K113" s="104">
        <v>0</v>
      </c>
    </row>
    <row r="114" spans="1:11" ht="12" customHeight="1">
      <c r="C114" s="107">
        <v>567351.36</v>
      </c>
      <c r="D114" s="107">
        <v>644244.63</v>
      </c>
      <c r="E114" s="107">
        <v>551675.5</v>
      </c>
      <c r="F114" s="107">
        <v>694514.54</v>
      </c>
      <c r="G114" s="107">
        <v>653773.14</v>
      </c>
      <c r="H114" s="107">
        <v>726977.13</v>
      </c>
      <c r="I114" s="107">
        <f>SUM(I107:I113)</f>
        <v>564293.47</v>
      </c>
      <c r="J114" s="107">
        <f>SUM(J107:J113)</f>
        <v>601811.82999999996</v>
      </c>
      <c r="K114" s="107">
        <f>SUM(K107:K113)</f>
        <v>850000</v>
      </c>
    </row>
    <row r="115" spans="1:11" ht="13.15" customHeight="1">
      <c r="A115" s="181" t="s">
        <v>322</v>
      </c>
      <c r="B115" s="181"/>
    </row>
    <row r="116" spans="1:11" ht="13.15" customHeight="1">
      <c r="A116" s="103" t="s">
        <v>323</v>
      </c>
      <c r="B116" s="103" t="s">
        <v>324</v>
      </c>
      <c r="C116" s="104">
        <v>725</v>
      </c>
      <c r="D116" s="104">
        <v>0</v>
      </c>
      <c r="E116" s="104">
        <v>0</v>
      </c>
      <c r="F116" s="104">
        <v>2160</v>
      </c>
      <c r="G116" s="104">
        <v>390</v>
      </c>
      <c r="H116" s="104">
        <v>150</v>
      </c>
      <c r="I116" s="104">
        <v>1635</v>
      </c>
      <c r="J116" s="104">
        <v>1635</v>
      </c>
      <c r="K116" s="106">
        <v>1635</v>
      </c>
    </row>
    <row r="117" spans="1:11" ht="13.15" customHeight="1">
      <c r="A117" s="103" t="s">
        <v>325</v>
      </c>
      <c r="B117" s="103" t="s">
        <v>326</v>
      </c>
      <c r="C117" s="104">
        <v>0</v>
      </c>
      <c r="D117" s="104">
        <v>0</v>
      </c>
      <c r="E117" s="104">
        <v>0</v>
      </c>
      <c r="F117" s="104">
        <v>519.58000000000004</v>
      </c>
      <c r="G117" s="104">
        <v>0</v>
      </c>
      <c r="H117" s="104">
        <v>0</v>
      </c>
      <c r="I117" s="104"/>
      <c r="J117" s="104"/>
      <c r="K117" s="104">
        <v>0</v>
      </c>
    </row>
    <row r="118" spans="1:11" ht="13.15" customHeight="1">
      <c r="A118" s="103" t="s">
        <v>327</v>
      </c>
      <c r="B118" s="103" t="s">
        <v>328</v>
      </c>
      <c r="C118" s="104">
        <v>0</v>
      </c>
      <c r="D118" s="104">
        <v>0</v>
      </c>
      <c r="E118" s="104">
        <v>0</v>
      </c>
      <c r="F118" s="104">
        <v>665.85</v>
      </c>
      <c r="G118" s="104">
        <v>3608.05</v>
      </c>
      <c r="H118" s="104">
        <v>443.9</v>
      </c>
      <c r="I118" s="104"/>
      <c r="J118" s="104"/>
      <c r="K118" s="104"/>
    </row>
    <row r="119" spans="1:11" ht="13.15" customHeight="1">
      <c r="A119" s="103" t="s">
        <v>329</v>
      </c>
      <c r="B119" s="103" t="s">
        <v>330</v>
      </c>
      <c r="C119" s="104">
        <v>363.13</v>
      </c>
      <c r="D119" s="104">
        <v>1160.4000000000001</v>
      </c>
      <c r="E119" s="104">
        <v>1862.61</v>
      </c>
      <c r="F119" s="104">
        <v>1541.22</v>
      </c>
      <c r="G119" s="104">
        <v>825.2</v>
      </c>
      <c r="H119" s="104">
        <v>2071.39</v>
      </c>
      <c r="I119" s="104">
        <v>80.02</v>
      </c>
      <c r="J119" s="104">
        <v>80.02</v>
      </c>
      <c r="K119" s="167">
        <v>150</v>
      </c>
    </row>
    <row r="120" spans="1:11" ht="12" customHeight="1">
      <c r="C120" s="107">
        <v>1088.1300000000001</v>
      </c>
      <c r="D120" s="107">
        <v>1160.4000000000001</v>
      </c>
      <c r="E120" s="107">
        <v>1862.61</v>
      </c>
      <c r="F120" s="107">
        <v>4886.6499999999996</v>
      </c>
      <c r="G120" s="107">
        <v>4823.25</v>
      </c>
      <c r="H120" s="107">
        <v>2665.29</v>
      </c>
      <c r="I120" s="107">
        <f>SUM(I116:I119)</f>
        <v>1715.02</v>
      </c>
      <c r="J120" s="107">
        <f>SUM(J116:J119)</f>
        <v>1715.02</v>
      </c>
      <c r="K120" s="107">
        <f>SUM(K116:K119)</f>
        <v>1785</v>
      </c>
    </row>
    <row r="121" spans="1:11" ht="13.15" customHeight="1">
      <c r="A121" s="181" t="s">
        <v>331</v>
      </c>
      <c r="B121" s="181"/>
    </row>
    <row r="122" spans="1:11" ht="13.15" customHeight="1">
      <c r="A122" s="103" t="s">
        <v>332</v>
      </c>
      <c r="B122" s="103" t="s">
        <v>333</v>
      </c>
      <c r="C122" s="104">
        <v>10960.85</v>
      </c>
      <c r="D122" s="104">
        <v>8179.43</v>
      </c>
      <c r="E122" s="104">
        <v>5915.36</v>
      </c>
      <c r="F122" s="104">
        <v>6962.39</v>
      </c>
      <c r="G122" s="104">
        <v>8566.73</v>
      </c>
      <c r="H122" s="104">
        <v>11605.3</v>
      </c>
      <c r="I122" s="104">
        <v>11886.85</v>
      </c>
      <c r="J122" s="104">
        <v>13416.74</v>
      </c>
      <c r="K122" s="106">
        <v>12000</v>
      </c>
    </row>
    <row r="123" spans="1:11" ht="13.15" customHeight="1">
      <c r="A123" s="103" t="s">
        <v>334</v>
      </c>
      <c r="B123" s="103" t="s">
        <v>335</v>
      </c>
      <c r="C123" s="104">
        <v>4289.3999999999996</v>
      </c>
      <c r="D123" s="104">
        <v>3518.92</v>
      </c>
      <c r="E123" s="104">
        <v>3036.62</v>
      </c>
      <c r="F123" s="104">
        <v>3687.86</v>
      </c>
      <c r="G123" s="104">
        <v>5705.58</v>
      </c>
      <c r="H123" s="104">
        <v>5228.5</v>
      </c>
      <c r="I123" s="104">
        <v>4904.74</v>
      </c>
      <c r="J123" s="104">
        <v>6239.04</v>
      </c>
      <c r="K123" s="150">
        <f>'10-8115 telephone'!C15</f>
        <v>6800</v>
      </c>
    </row>
    <row r="124" spans="1:11" ht="13.15" customHeight="1">
      <c r="A124" s="103" t="s">
        <v>336</v>
      </c>
      <c r="B124" s="103" t="s">
        <v>337</v>
      </c>
      <c r="C124" s="104">
        <v>2234.33</v>
      </c>
      <c r="D124" s="104">
        <v>3304.66</v>
      </c>
      <c r="E124" s="104">
        <v>2334.4</v>
      </c>
      <c r="F124" s="104">
        <v>2681.12</v>
      </c>
      <c r="G124" s="104">
        <v>3624.09</v>
      </c>
      <c r="H124" s="104">
        <v>3913.3</v>
      </c>
      <c r="I124" s="104">
        <v>3760.6</v>
      </c>
      <c r="J124" s="104">
        <v>4212.9399999999996</v>
      </c>
      <c r="K124" s="106">
        <v>4200</v>
      </c>
    </row>
    <row r="125" spans="1:11" ht="13.15" customHeight="1">
      <c r="A125" s="103" t="s">
        <v>338</v>
      </c>
      <c r="B125" s="103" t="s">
        <v>339</v>
      </c>
      <c r="C125" s="104">
        <v>0</v>
      </c>
      <c r="D125" s="104">
        <v>1345.2</v>
      </c>
      <c r="E125" s="104">
        <v>0</v>
      </c>
      <c r="F125" s="104">
        <v>0</v>
      </c>
      <c r="G125" s="104">
        <v>0</v>
      </c>
      <c r="H125" s="104">
        <v>0</v>
      </c>
      <c r="I125" s="104"/>
      <c r="J125" s="104"/>
      <c r="K125" s="106">
        <v>0</v>
      </c>
    </row>
    <row r="126" spans="1:11" ht="13.15" customHeight="1">
      <c r="A126" s="103" t="s">
        <v>340</v>
      </c>
      <c r="B126" s="103" t="s">
        <v>341</v>
      </c>
      <c r="C126" s="104">
        <v>14798.93</v>
      </c>
      <c r="D126" s="104">
        <v>17576.75</v>
      </c>
      <c r="E126" s="104">
        <v>15736.51</v>
      </c>
      <c r="F126" s="104">
        <v>19967.04</v>
      </c>
      <c r="G126" s="104">
        <v>30528.32</v>
      </c>
      <c r="H126" s="104">
        <v>31482.53</v>
      </c>
      <c r="I126" s="104">
        <v>27837.59</v>
      </c>
      <c r="J126" s="104">
        <v>28370.38</v>
      </c>
      <c r="K126" s="150">
        <f>'10-8300 software'!C19</f>
        <v>36110</v>
      </c>
    </row>
    <row r="127" spans="1:11" ht="13.15" customHeight="1">
      <c r="A127" s="103" t="s">
        <v>342</v>
      </c>
      <c r="B127" s="103" t="s">
        <v>343</v>
      </c>
      <c r="C127" s="104">
        <v>1019.63</v>
      </c>
      <c r="D127" s="104">
        <v>35</v>
      </c>
      <c r="E127" s="104">
        <v>692.66</v>
      </c>
      <c r="F127" s="104">
        <v>430.26</v>
      </c>
      <c r="G127" s="104">
        <v>57.35</v>
      </c>
      <c r="H127" s="104">
        <v>38</v>
      </c>
      <c r="I127" s="104"/>
      <c r="J127" s="104"/>
      <c r="K127" s="106">
        <v>10000</v>
      </c>
    </row>
    <row r="128" spans="1:11" ht="13.15" customHeight="1">
      <c r="A128" s="103" t="s">
        <v>344</v>
      </c>
      <c r="B128" s="103" t="s">
        <v>345</v>
      </c>
      <c r="C128" s="104">
        <v>9500</v>
      </c>
      <c r="D128" s="104">
        <v>9600</v>
      </c>
      <c r="E128" s="104">
        <v>9600</v>
      </c>
      <c r="F128" s="104">
        <v>9700</v>
      </c>
      <c r="G128" s="104">
        <v>18058</v>
      </c>
      <c r="H128" s="104">
        <v>18622.21</v>
      </c>
      <c r="I128" s="104">
        <v>18622.2</v>
      </c>
      <c r="J128" s="104">
        <v>18622.2</v>
      </c>
      <c r="K128" s="150">
        <f>'10-8520 Audit'!F25</f>
        <v>20010.410437500002</v>
      </c>
    </row>
    <row r="129" spans="1:11" ht="13.15" customHeight="1">
      <c r="A129" s="103" t="s">
        <v>346</v>
      </c>
      <c r="B129" s="103" t="s">
        <v>347</v>
      </c>
      <c r="C129" s="104">
        <v>0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  <c r="I129" s="104"/>
      <c r="J129" s="104"/>
      <c r="K129" s="106"/>
    </row>
    <row r="130" spans="1:11" ht="13.15" customHeight="1">
      <c r="A130" s="103" t="s">
        <v>348</v>
      </c>
      <c r="B130" s="103" t="s">
        <v>349</v>
      </c>
      <c r="C130" s="104">
        <v>8605.7199999999993</v>
      </c>
      <c r="D130" s="104">
        <v>12600.23</v>
      </c>
      <c r="E130" s="104">
        <v>1061.42</v>
      </c>
      <c r="F130" s="104">
        <v>4270.33</v>
      </c>
      <c r="G130" s="104">
        <v>5284.19</v>
      </c>
      <c r="H130" s="104">
        <v>11876.69</v>
      </c>
      <c r="I130" s="104">
        <v>4308.66</v>
      </c>
      <c r="J130" s="104">
        <v>8299.65</v>
      </c>
      <c r="K130" s="106">
        <v>8500</v>
      </c>
    </row>
    <row r="131" spans="1:11" ht="13.15" customHeight="1">
      <c r="A131" s="103" t="s">
        <v>350</v>
      </c>
      <c r="B131" s="103" t="s">
        <v>351</v>
      </c>
      <c r="C131" s="104">
        <v>2905.7</v>
      </c>
      <c r="D131" s="104">
        <v>2529.46</v>
      </c>
      <c r="E131" s="104">
        <v>163.16</v>
      </c>
      <c r="F131" s="104">
        <v>507.47</v>
      </c>
      <c r="G131" s="104">
        <v>3838.7</v>
      </c>
      <c r="H131" s="104">
        <v>7465.05</v>
      </c>
      <c r="I131" s="104">
        <v>2989.62</v>
      </c>
      <c r="J131" s="104">
        <v>3132.68</v>
      </c>
      <c r="K131" s="106">
        <v>5000</v>
      </c>
    </row>
    <row r="132" spans="1:11" ht="13.15" customHeight="1">
      <c r="A132" s="103" t="s">
        <v>352</v>
      </c>
      <c r="B132" s="103" t="s">
        <v>353</v>
      </c>
      <c r="C132" s="104">
        <v>319.68</v>
      </c>
      <c r="D132" s="104">
        <v>325.12</v>
      </c>
      <c r="E132" s="104">
        <v>331.63</v>
      </c>
      <c r="F132" s="104">
        <v>989.09</v>
      </c>
      <c r="G132" s="104">
        <v>257.07</v>
      </c>
      <c r="H132" s="104">
        <v>257.07</v>
      </c>
      <c r="I132" s="104"/>
      <c r="J132" s="104"/>
      <c r="K132" s="150">
        <f>'10-7055 Dues and Memberships'!C10</f>
        <v>300</v>
      </c>
    </row>
    <row r="133" spans="1:11" ht="13.15" customHeight="1">
      <c r="A133" s="103" t="s">
        <v>354</v>
      </c>
      <c r="B133" s="103" t="s">
        <v>355</v>
      </c>
      <c r="C133" s="104">
        <v>1277.78</v>
      </c>
      <c r="D133" s="104">
        <v>1589.63</v>
      </c>
      <c r="E133" s="104">
        <v>1684.88</v>
      </c>
      <c r="F133" s="104">
        <v>829.75</v>
      </c>
      <c r="G133" s="104">
        <v>1097.33</v>
      </c>
      <c r="H133" s="104">
        <v>1472.54</v>
      </c>
      <c r="I133" s="104">
        <v>1161.3</v>
      </c>
      <c r="J133" s="104">
        <v>1161.3</v>
      </c>
      <c r="K133" s="106">
        <v>1500</v>
      </c>
    </row>
    <row r="134" spans="1:11" ht="12" customHeight="1">
      <c r="C134" s="107">
        <v>55912.02</v>
      </c>
      <c r="D134" s="107">
        <v>60604.4</v>
      </c>
      <c r="E134" s="107">
        <v>40556.639999999999</v>
      </c>
      <c r="F134" s="107">
        <v>50025.31</v>
      </c>
      <c r="G134" s="107">
        <v>77017.36</v>
      </c>
      <c r="H134" s="107">
        <v>91961.19</v>
      </c>
      <c r="I134" s="107">
        <f>SUM(I122:I133)</f>
        <v>75471.56</v>
      </c>
      <c r="J134" s="107">
        <f>SUM(J122:J133)</f>
        <v>83454.929999999993</v>
      </c>
      <c r="K134" s="113">
        <f>SUM(K122:K133)</f>
        <v>104420.4104375</v>
      </c>
    </row>
    <row r="135" spans="1:11" ht="13.15" customHeight="1">
      <c r="A135" s="181" t="s">
        <v>356</v>
      </c>
      <c r="B135" s="181"/>
      <c r="K135" s="116"/>
    </row>
    <row r="136" spans="1:11" ht="13.15" customHeight="1">
      <c r="A136" s="103" t="s">
        <v>357</v>
      </c>
      <c r="B136" s="103" t="s">
        <v>358</v>
      </c>
      <c r="C136" s="104">
        <v>1941.71</v>
      </c>
      <c r="D136" s="104">
        <v>1953.2</v>
      </c>
      <c r="E136" s="104">
        <v>1796.9</v>
      </c>
      <c r="F136" s="104">
        <v>2010.12</v>
      </c>
      <c r="G136" s="104">
        <v>1915.55</v>
      </c>
      <c r="H136" s="104">
        <v>1901.1</v>
      </c>
      <c r="I136" s="104">
        <v>1527.64</v>
      </c>
      <c r="J136" s="104">
        <v>1616.26</v>
      </c>
      <c r="K136" s="106">
        <v>2000</v>
      </c>
    </row>
    <row r="137" spans="1:11" ht="13.15" customHeight="1">
      <c r="A137" s="103" t="s">
        <v>359</v>
      </c>
      <c r="B137" s="103" t="s">
        <v>360</v>
      </c>
      <c r="C137" s="104">
        <v>74.2</v>
      </c>
      <c r="D137" s="104">
        <v>32.5</v>
      </c>
      <c r="E137" s="104">
        <v>0</v>
      </c>
      <c r="F137" s="104">
        <v>0</v>
      </c>
      <c r="G137" s="104">
        <v>0</v>
      </c>
      <c r="H137" s="104">
        <v>0</v>
      </c>
      <c r="I137" s="104">
        <v>21306.61</v>
      </c>
      <c r="J137" s="104">
        <v>21306.61</v>
      </c>
      <c r="K137" s="106">
        <v>66300</v>
      </c>
    </row>
    <row r="138" spans="1:11" ht="12" customHeight="1">
      <c r="C138" s="107">
        <v>2015.91</v>
      </c>
      <c r="D138" s="107">
        <v>1985.7</v>
      </c>
      <c r="E138" s="107">
        <v>1796.9</v>
      </c>
      <c r="F138" s="107">
        <v>2010.12</v>
      </c>
      <c r="G138" s="107">
        <v>1915.55</v>
      </c>
      <c r="H138" s="107">
        <v>1901.1</v>
      </c>
      <c r="I138" s="107">
        <f>SUM(I136:I137)</f>
        <v>22834.25</v>
      </c>
      <c r="J138" s="107">
        <f>SUM(J136:J137)</f>
        <v>22922.87</v>
      </c>
      <c r="K138" s="113">
        <f>SUM(K136:K137)</f>
        <v>68300</v>
      </c>
    </row>
    <row r="139" spans="1:11" ht="13.15" customHeight="1">
      <c r="A139" s="181" t="s">
        <v>361</v>
      </c>
      <c r="B139" s="181"/>
    </row>
    <row r="140" spans="1:11" ht="13.15" customHeight="1">
      <c r="A140" s="103" t="s">
        <v>362</v>
      </c>
      <c r="B140" s="103" t="s">
        <v>363</v>
      </c>
      <c r="C140" s="104">
        <v>6500</v>
      </c>
      <c r="D140" s="104">
        <v>10600</v>
      </c>
      <c r="E140" s="104">
        <v>16460</v>
      </c>
      <c r="F140" s="104">
        <v>0</v>
      </c>
      <c r="G140" s="104">
        <v>0</v>
      </c>
      <c r="H140" s="104">
        <v>0</v>
      </c>
      <c r="I140" s="104">
        <v>0</v>
      </c>
      <c r="J140" s="104"/>
      <c r="K140" s="104">
        <v>0</v>
      </c>
    </row>
    <row r="141" spans="1:11" ht="12" customHeight="1">
      <c r="C141" s="107">
        <v>6500</v>
      </c>
      <c r="D141" s="107">
        <v>10600</v>
      </c>
      <c r="E141" s="107">
        <v>16460</v>
      </c>
      <c r="F141" s="107">
        <v>0</v>
      </c>
      <c r="G141" s="107">
        <v>0</v>
      </c>
      <c r="H141" s="107">
        <v>0</v>
      </c>
      <c r="I141" s="107">
        <f>SUM(I140)</f>
        <v>0</v>
      </c>
      <c r="J141" s="107">
        <f>SUM(J140)</f>
        <v>0</v>
      </c>
      <c r="K141" s="107">
        <f>SUM(K140)</f>
        <v>0</v>
      </c>
    </row>
    <row r="142" spans="1:11" ht="13.15" customHeight="1">
      <c r="A142" s="181" t="s">
        <v>364</v>
      </c>
      <c r="B142" s="181"/>
    </row>
    <row r="143" spans="1:11" ht="13.15" customHeight="1">
      <c r="A143" s="103" t="s">
        <v>365</v>
      </c>
      <c r="B143" s="103" t="s">
        <v>366</v>
      </c>
      <c r="C143" s="104">
        <v>2139.27</v>
      </c>
      <c r="D143" s="104">
        <v>1899.77</v>
      </c>
      <c r="E143" s="104">
        <v>1154.8599999999999</v>
      </c>
      <c r="F143" s="104">
        <v>595.48</v>
      </c>
      <c r="G143" s="104">
        <v>0</v>
      </c>
      <c r="H143" s="104">
        <v>0</v>
      </c>
      <c r="I143" s="104">
        <v>0</v>
      </c>
      <c r="J143" s="104"/>
      <c r="K143" s="104">
        <v>0</v>
      </c>
    </row>
    <row r="144" spans="1:11" ht="12" customHeight="1">
      <c r="C144" s="107">
        <v>2139.27</v>
      </c>
      <c r="D144" s="107">
        <v>1899.77</v>
      </c>
      <c r="E144" s="107">
        <v>1154.8599999999999</v>
      </c>
      <c r="F144" s="107">
        <v>595.48</v>
      </c>
      <c r="G144" s="107">
        <v>0</v>
      </c>
      <c r="H144" s="107">
        <v>0</v>
      </c>
      <c r="I144" s="107">
        <f>SUM(I143)</f>
        <v>0</v>
      </c>
      <c r="J144" s="107">
        <f>SUM(J143)</f>
        <v>0</v>
      </c>
      <c r="K144" s="107">
        <v>0</v>
      </c>
    </row>
    <row r="145" spans="1:12" ht="13.35" customHeight="1"/>
    <row r="146" spans="1:12" ht="12.6" customHeight="1">
      <c r="A146" s="180" t="s">
        <v>367</v>
      </c>
      <c r="B146" s="180"/>
      <c r="C146" s="110">
        <v>1061958.68</v>
      </c>
      <c r="D146" s="110">
        <v>1075620.6200000001</v>
      </c>
      <c r="E146" s="110">
        <v>715110.83</v>
      </c>
      <c r="F146" s="110">
        <v>1006628.69</v>
      </c>
      <c r="G146" s="110">
        <v>1302532.76</v>
      </c>
      <c r="H146" s="110">
        <v>1506648.39</v>
      </c>
      <c r="I146" s="111">
        <f>I144+I141+I138+I134+I120+I114+I104+I96+I78</f>
        <v>1459776.1099999999</v>
      </c>
      <c r="J146" s="111">
        <f>J144+J141+J138+J134+J120+J114+J104+J96+J78</f>
        <v>1571743.3299999996</v>
      </c>
      <c r="K146" s="112">
        <f>K144+K141+K138+K134+K120+K114+K104+K96+K78</f>
        <v>2055293.4104375001</v>
      </c>
    </row>
    <row r="147" spans="1:12" ht="13.35" customHeight="1"/>
    <row r="148" spans="1:12" s="115" customFormat="1" ht="12.6" customHeight="1">
      <c r="A148" s="180" t="s">
        <v>368</v>
      </c>
      <c r="B148" s="180"/>
      <c r="C148" s="110">
        <v>1076920.6499999999</v>
      </c>
      <c r="D148" s="110">
        <v>895412.27</v>
      </c>
      <c r="E148" s="110">
        <v>1390659.77</v>
      </c>
      <c r="F148" s="110">
        <v>2820296.67</v>
      </c>
      <c r="G148" s="110">
        <v>977772.72</v>
      </c>
      <c r="H148" s="110">
        <v>2161743.0499999998</v>
      </c>
      <c r="I148" s="111">
        <f>I67-I146</f>
        <v>3237939.9499999997</v>
      </c>
      <c r="J148" s="111">
        <f>J67-J146</f>
        <v>3254996.77</v>
      </c>
      <c r="K148" s="117">
        <f>K67-K146</f>
        <v>2539025.5895624999</v>
      </c>
      <c r="L148" s="137"/>
    </row>
    <row r="149" spans="1:12" ht="13.35" customHeight="1"/>
    <row r="150" spans="1:12" ht="13.35" customHeight="1">
      <c r="A150" s="149"/>
      <c r="B150" s="148" t="s">
        <v>1</v>
      </c>
      <c r="C150" s="145">
        <f>C67-C41</f>
        <v>1510571.2599999998</v>
      </c>
      <c r="D150" s="145">
        <f t="shared" ref="D150:K150" si="3">D67-D41</f>
        <v>1177195.8900000001</v>
      </c>
      <c r="E150" s="145">
        <f t="shared" si="3"/>
        <v>1859595.6</v>
      </c>
      <c r="F150" s="145">
        <f t="shared" si="3"/>
        <v>3569156.27</v>
      </c>
      <c r="G150" s="145">
        <f t="shared" si="3"/>
        <v>1471005.73</v>
      </c>
      <c r="H150" s="145">
        <f t="shared" si="3"/>
        <v>2438626.9799999995</v>
      </c>
      <c r="I150" s="145">
        <f t="shared" si="3"/>
        <v>3031277.0599999996</v>
      </c>
      <c r="J150" s="145">
        <f t="shared" si="3"/>
        <v>3081773.92</v>
      </c>
      <c r="K150" s="145">
        <f t="shared" si="3"/>
        <v>2729319</v>
      </c>
      <c r="L150" s="144"/>
    </row>
    <row r="151" spans="1:12" ht="13.35" customHeight="1">
      <c r="A151" s="149"/>
      <c r="B151" s="148" t="s">
        <v>2</v>
      </c>
      <c r="C151" s="146">
        <f>C41-C96</f>
        <v>428217</v>
      </c>
      <c r="D151" s="146">
        <f t="shared" ref="D151:K151" si="4">D41-D96</f>
        <v>570619</v>
      </c>
      <c r="E151" s="146">
        <f t="shared" si="4"/>
        <v>236030.83000000002</v>
      </c>
      <c r="F151" s="146">
        <f t="shared" si="4"/>
        <v>141854</v>
      </c>
      <c r="G151" s="146">
        <f t="shared" si="4"/>
        <v>452804</v>
      </c>
      <c r="H151" s="146">
        <f t="shared" si="4"/>
        <v>765158</v>
      </c>
      <c r="I151" s="146">
        <f t="shared" si="4"/>
        <v>1043135.9000000001</v>
      </c>
      <c r="J151" s="146">
        <f t="shared" si="4"/>
        <v>1062077.7600000002</v>
      </c>
      <c r="K151" s="146">
        <f t="shared" si="4"/>
        <v>1197400</v>
      </c>
    </row>
    <row r="152" spans="1:12" ht="13.35" customHeight="1">
      <c r="A152" s="149"/>
      <c r="B152" s="148" t="s">
        <v>3</v>
      </c>
      <c r="C152" s="146">
        <f>SUM(C150:C151)</f>
        <v>1938788.2599999998</v>
      </c>
      <c r="D152" s="146">
        <f t="shared" ref="D152:K152" si="5">SUM(D150:D151)</f>
        <v>1747814.8900000001</v>
      </c>
      <c r="E152" s="146">
        <f t="shared" si="5"/>
        <v>2095626.4300000002</v>
      </c>
      <c r="F152" s="146">
        <f t="shared" si="5"/>
        <v>3711010.27</v>
      </c>
      <c r="G152" s="146">
        <f t="shared" si="5"/>
        <v>1923809.73</v>
      </c>
      <c r="H152" s="146">
        <f t="shared" si="5"/>
        <v>3203784.9799999995</v>
      </c>
      <c r="I152" s="146">
        <f t="shared" si="5"/>
        <v>4074412.96</v>
      </c>
      <c r="J152" s="146">
        <f t="shared" si="5"/>
        <v>4143851.68</v>
      </c>
      <c r="K152" s="146">
        <f t="shared" si="5"/>
        <v>3926719</v>
      </c>
    </row>
    <row r="153" spans="1:12" ht="13.35" customHeight="1">
      <c r="A153" s="149"/>
      <c r="B153" s="148"/>
      <c r="C153" s="146"/>
      <c r="D153" s="146"/>
      <c r="E153" s="146"/>
      <c r="F153" s="146"/>
      <c r="G153" s="146"/>
      <c r="H153" s="146"/>
      <c r="I153" s="146"/>
      <c r="J153" s="146"/>
      <c r="K153" s="146"/>
    </row>
    <row r="154" spans="1:12" ht="13.35" customHeight="1">
      <c r="A154" s="149"/>
      <c r="B154" s="148" t="s">
        <v>4</v>
      </c>
      <c r="C154" s="146">
        <f>C146-C96</f>
        <v>861868.67999999993</v>
      </c>
      <c r="D154" s="146">
        <f t="shared" ref="D154:K154" si="6">D146-D96</f>
        <v>852402.62000000011</v>
      </c>
      <c r="E154" s="146">
        <f t="shared" si="6"/>
        <v>704966.83</v>
      </c>
      <c r="F154" s="146">
        <f t="shared" si="6"/>
        <v>890713.69</v>
      </c>
      <c r="G154" s="146">
        <f t="shared" si="6"/>
        <v>946036.76</v>
      </c>
      <c r="H154" s="146">
        <f t="shared" si="6"/>
        <v>1042042.3899999999</v>
      </c>
      <c r="I154" s="146">
        <f t="shared" si="6"/>
        <v>836473.01</v>
      </c>
      <c r="J154" s="146">
        <f t="shared" si="6"/>
        <v>888854.9099999998</v>
      </c>
      <c r="K154" s="146">
        <f t="shared" si="6"/>
        <v>1387693.4104375001</v>
      </c>
    </row>
    <row r="155" spans="1:12" ht="13.35" customHeight="1">
      <c r="A155" s="149"/>
      <c r="B155" s="148"/>
      <c r="C155" s="147">
        <f>C154/C152</f>
        <v>0.44453986945433643</v>
      </c>
      <c r="D155" s="147">
        <f t="shared" ref="D155:K155" si="7">D154/D152</f>
        <v>0.48769616558192846</v>
      </c>
      <c r="E155" s="147">
        <f t="shared" si="7"/>
        <v>0.33639909284786024</v>
      </c>
      <c r="F155" s="147">
        <f t="shared" si="7"/>
        <v>0.24001919294068672</v>
      </c>
      <c r="G155" s="147">
        <f t="shared" si="7"/>
        <v>0.49175172848304494</v>
      </c>
      <c r="H155" s="147">
        <f t="shared" si="7"/>
        <v>0.32525353496101356</v>
      </c>
      <c r="I155" s="147">
        <f t="shared" si="7"/>
        <v>0.20529902545764531</v>
      </c>
      <c r="J155" s="147">
        <f t="shared" si="7"/>
        <v>0.21449969222836657</v>
      </c>
      <c r="K155" s="147">
        <f t="shared" si="7"/>
        <v>0.35339768657688519</v>
      </c>
    </row>
    <row r="156" spans="1:12" ht="13.35" customHeight="1">
      <c r="A156" s="149"/>
      <c r="B156" s="148" t="s">
        <v>5</v>
      </c>
      <c r="C156" s="146">
        <f>C152-C154</f>
        <v>1076919.5799999998</v>
      </c>
      <c r="D156" s="146">
        <f t="shared" ref="D156:K156" si="8">D152-D154</f>
        <v>895412.27</v>
      </c>
      <c r="E156" s="146">
        <f t="shared" si="8"/>
        <v>1390659.6</v>
      </c>
      <c r="F156" s="146">
        <f t="shared" si="8"/>
        <v>2820296.58</v>
      </c>
      <c r="G156" s="146">
        <f t="shared" si="8"/>
        <v>977772.97</v>
      </c>
      <c r="H156" s="146">
        <f t="shared" si="8"/>
        <v>2161742.59</v>
      </c>
      <c r="I156" s="146">
        <f t="shared" si="8"/>
        <v>3237939.95</v>
      </c>
      <c r="J156" s="146">
        <f t="shared" si="8"/>
        <v>3254996.7700000005</v>
      </c>
      <c r="K156" s="146">
        <f t="shared" si="8"/>
        <v>2539025.5895624999</v>
      </c>
    </row>
    <row r="157" spans="1:12" ht="13.35" customHeight="1"/>
    <row r="158" spans="1:12" ht="13.35" customHeight="1"/>
    <row r="159" spans="1:12" ht="13.35" customHeight="1"/>
    <row r="160" spans="1:12" ht="13.35" customHeight="1"/>
    <row r="161" spans="1:11" ht="13.35" customHeight="1"/>
    <row r="162" spans="1:11" ht="13.35" customHeight="1"/>
    <row r="163" spans="1:11" ht="13.35" customHeight="1"/>
    <row r="164" spans="1:11" ht="13.35" customHeight="1"/>
    <row r="165" spans="1:11" ht="13.35" customHeight="1"/>
    <row r="166" spans="1:11" ht="13.35" customHeight="1"/>
    <row r="167" spans="1:11" ht="13.35" customHeight="1"/>
    <row r="168" spans="1:11" ht="13.35" customHeight="1"/>
    <row r="169" spans="1:11" ht="7.7" customHeight="1">
      <c r="A169" s="178"/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</row>
    <row r="170" spans="1:11" ht="10.5" customHeight="1">
      <c r="A170" s="182"/>
      <c r="B170" s="182"/>
      <c r="C170" s="183"/>
      <c r="D170" s="183"/>
      <c r="E170" s="183"/>
      <c r="F170" s="183"/>
      <c r="G170" s="183"/>
      <c r="H170" s="184"/>
      <c r="I170" s="184"/>
      <c r="J170" s="184"/>
      <c r="K170" s="184"/>
    </row>
    <row r="171" spans="1:11" ht="13.35" customHeight="1"/>
  </sheetData>
  <mergeCells count="34">
    <mergeCell ref="A169:K169"/>
    <mergeCell ref="A170:B170"/>
    <mergeCell ref="C170:G170"/>
    <mergeCell ref="H170:K170"/>
    <mergeCell ref="A148:B148"/>
    <mergeCell ref="A139:B139"/>
    <mergeCell ref="A142:B142"/>
    <mergeCell ref="A70:B70"/>
    <mergeCell ref="A79:B79"/>
    <mergeCell ref="A98:B98"/>
    <mergeCell ref="A105:B105"/>
    <mergeCell ref="A106:B106"/>
    <mergeCell ref="A146:B146"/>
    <mergeCell ref="A69:B69"/>
    <mergeCell ref="A8:B8"/>
    <mergeCell ref="A19:B19"/>
    <mergeCell ref="A22:B22"/>
    <mergeCell ref="A26:B26"/>
    <mergeCell ref="A42:B42"/>
    <mergeCell ref="A46:B46"/>
    <mergeCell ref="A49:B49"/>
    <mergeCell ref="A53:B53"/>
    <mergeCell ref="A58:B58"/>
    <mergeCell ref="A65:B65"/>
    <mergeCell ref="A67:B67"/>
    <mergeCell ref="A115:B115"/>
    <mergeCell ref="A121:B121"/>
    <mergeCell ref="A135:B135"/>
    <mergeCell ref="A7:B7"/>
    <mergeCell ref="A1:K1"/>
    <mergeCell ref="A2:K2"/>
    <mergeCell ref="A3:K3"/>
    <mergeCell ref="A4:K4"/>
    <mergeCell ref="C5:H5"/>
  </mergeCells>
  <hyperlinks>
    <hyperlink ref="A9" r:id="rId1" xr:uid="{47F0F08C-F38A-4F16-AC87-BB75752D4B9A}"/>
    <hyperlink ref="A11" r:id="rId2" xr:uid="{5BDA87FB-3169-41D7-B682-06E96ACD33A8}"/>
    <hyperlink ref="A12" r:id="rId3" xr:uid="{3059640B-ECA4-40EA-8E3A-C2C0EC3D4FF6}"/>
    <hyperlink ref="A13" r:id="rId4" xr:uid="{4A5644F8-BC25-4EA0-9DFF-487F0E775C10}"/>
    <hyperlink ref="A14" r:id="rId5" xr:uid="{303BC357-2008-47DB-8695-70471C0DDF81}"/>
    <hyperlink ref="A15" r:id="rId6" xr:uid="{030E5EE5-CDED-4C4E-B5AD-BA2DE3BCF51A}"/>
    <hyperlink ref="A16" r:id="rId7" xr:uid="{DF84FD27-1501-42EE-8D8F-2E9F15B41162}"/>
    <hyperlink ref="A17" r:id="rId8" xr:uid="{46E67FD0-E325-4DDB-8B7C-6889979EB49F}"/>
    <hyperlink ref="A20" r:id="rId9" xr:uid="{80091B7B-8633-426E-ACAA-241B5C83C63A}"/>
    <hyperlink ref="A23" r:id="rId10" xr:uid="{98144FA2-E870-4554-AEE1-148C1F7899C6}"/>
    <hyperlink ref="A24" r:id="rId11" xr:uid="{3861D073-B633-497C-B9FA-626DFF48E8B9}"/>
    <hyperlink ref="A40" r:id="rId12" xr:uid="{8C3C7D2B-4480-4301-922A-8AD92813E696}"/>
    <hyperlink ref="A43" r:id="rId13" xr:uid="{33AE74FE-AE8F-484D-BABA-B69C86C40E1B}"/>
    <hyperlink ref="A44" r:id="rId14" xr:uid="{44AB6F5C-C3A6-4026-B343-B75D3147C162}"/>
    <hyperlink ref="A47" r:id="rId15" xr:uid="{BA5E8436-E2AA-4C9C-9738-DC129097605F}"/>
    <hyperlink ref="A50" r:id="rId16" xr:uid="{05587A17-5C9A-463A-87DE-BCD1B1E23B76}"/>
    <hyperlink ref="A51" r:id="rId17" xr:uid="{B4A048C9-B39C-41ED-8641-02794E098458}"/>
    <hyperlink ref="A54" r:id="rId18" xr:uid="{8D2A1B0D-C119-4B66-B770-AA7233E50395}"/>
    <hyperlink ref="A55" r:id="rId19" xr:uid="{25703A65-53A9-49FB-B7F3-917D0446BB4E}"/>
    <hyperlink ref="A59" r:id="rId20" xr:uid="{3C24E000-3C3C-4940-97DA-408648E9C251}"/>
    <hyperlink ref="A60" r:id="rId21" xr:uid="{F6C9BC9E-65DC-47D7-BD43-6007125A308E}"/>
    <hyperlink ref="A61" r:id="rId22" xr:uid="{68EC0F24-A1D5-4D9C-A5CE-EA7605E6C0EA}"/>
    <hyperlink ref="A62" r:id="rId23" xr:uid="{F3BAEAAF-1F08-41BA-AA75-6DBA5A9AB463}"/>
    <hyperlink ref="A63" r:id="rId24" xr:uid="{3C6A097B-8F90-403A-B0EA-451BC5176E9F}"/>
    <hyperlink ref="A64" r:id="rId25" xr:uid="{0F1605FE-4880-43A3-8A41-6563B61E8415}"/>
    <hyperlink ref="A71" r:id="rId26" xr:uid="{75D8CCF5-07FE-464A-8EAE-93373E9D6104}"/>
    <hyperlink ref="A72" r:id="rId27" xr:uid="{FF0770A1-D45B-4E67-B669-6FC3CE11FAC1}"/>
    <hyperlink ref="A73" r:id="rId28" xr:uid="{F0BE82EA-BD77-4A4A-A6D9-8DBE02E676D1}"/>
    <hyperlink ref="A74" r:id="rId29" xr:uid="{4379B382-31BA-419B-8454-39363DB8B049}"/>
    <hyperlink ref="A75" r:id="rId30" xr:uid="{41585080-DD33-424C-9DA1-1213706245F1}"/>
    <hyperlink ref="A76" r:id="rId31" xr:uid="{DB5D0474-C606-41EC-BF0B-ABAEEDB597F9}"/>
    <hyperlink ref="A77" r:id="rId32" xr:uid="{8CD30142-DFC7-4195-802D-DC1FB7376A3B}"/>
    <hyperlink ref="A99" r:id="rId33" xr:uid="{C42BFD8B-7D93-4063-897C-9580A7C9E888}"/>
    <hyperlink ref="A100" r:id="rId34" xr:uid="{3A4B3C05-9DD7-42D2-A2E4-346BCF798D86}"/>
    <hyperlink ref="A101" r:id="rId35" xr:uid="{E01D2E23-C1A6-4CA0-8786-7738C2DB7C6E}"/>
    <hyperlink ref="A102" r:id="rId36" xr:uid="{3B789410-B2F1-4B76-8CD9-972FD988A56C}"/>
    <hyperlink ref="A103" r:id="rId37" xr:uid="{C3865E3A-1E5A-4217-8A60-E844E1844D1A}"/>
    <hyperlink ref="A107" r:id="rId38" xr:uid="{FCC21627-E46D-4594-946C-68EAD6C5B89A}"/>
    <hyperlink ref="A108" r:id="rId39" xr:uid="{5733878C-A981-44BB-8E1A-FBDB69579066}"/>
    <hyperlink ref="A109" r:id="rId40" xr:uid="{7F2B8C32-3D1A-4B0A-A3D2-D981A00F6A09}"/>
    <hyperlink ref="A110" r:id="rId41" xr:uid="{4CB8CA67-CB1E-4A0E-9504-E359577D4E70}"/>
    <hyperlink ref="A111" r:id="rId42" xr:uid="{E14A3C9E-77FE-40A6-89C5-11C02116F718}"/>
    <hyperlink ref="A112" r:id="rId43" xr:uid="{2AA4A96A-A1D8-4C3E-923F-D365517B79B0}"/>
    <hyperlink ref="A113" r:id="rId44" xr:uid="{79009460-3C2A-4E13-A096-814DC28A5010}"/>
    <hyperlink ref="A116" r:id="rId45" xr:uid="{879AEAD5-F21D-4FA5-9E06-E6432EABD739}"/>
    <hyperlink ref="A117" r:id="rId46" xr:uid="{EBCCA9F5-FECC-43D9-B84A-03DBBCA9D4D6}"/>
    <hyperlink ref="A118" r:id="rId47" xr:uid="{8CE6F175-7BB3-4036-9DE6-9659005CAC9D}"/>
    <hyperlink ref="A119" r:id="rId48" xr:uid="{4EAC018B-E005-4FE7-ABFE-33E37ED3D22E}"/>
    <hyperlink ref="A122" r:id="rId49" xr:uid="{E1F614F6-6339-4FC2-9C26-CD9FD66F375C}"/>
    <hyperlink ref="A123" r:id="rId50" xr:uid="{7C056FF4-E3EA-4DE3-B5DA-26896006BE10}"/>
    <hyperlink ref="A124" r:id="rId51" xr:uid="{B502CA0B-7EA5-48E7-9080-6AF61EC2B090}"/>
    <hyperlink ref="A125" r:id="rId52" xr:uid="{B6B835E9-6CBD-4B0C-81B7-461DDC9DA499}"/>
    <hyperlink ref="A126" r:id="rId53" xr:uid="{2553D32D-B04D-4A7E-9F9C-A285DB95260D}"/>
    <hyperlink ref="A127" r:id="rId54" xr:uid="{B9852FC3-BDB9-4BCA-9F8C-7B1A8A7757B2}"/>
    <hyperlink ref="A128" r:id="rId55" xr:uid="{4B6DE8E5-9D3F-4899-BC64-D0F1D67FB146}"/>
    <hyperlink ref="A129" r:id="rId56" xr:uid="{5A99BF85-A9F6-472C-B6EF-CAAE1DE1F5AA}"/>
    <hyperlink ref="A130" r:id="rId57" xr:uid="{A7E3EB6E-A6A7-474B-9541-FF722C7484D6}"/>
    <hyperlink ref="A131" r:id="rId58" xr:uid="{A3088803-9AE1-4D56-9EDF-3873E059A136}"/>
    <hyperlink ref="A132" r:id="rId59" xr:uid="{2DE0D1CC-DFCE-4C02-81E6-16687952C29D}"/>
    <hyperlink ref="A133" r:id="rId60" xr:uid="{7B022F94-E431-44AF-867A-6546150E41DB}"/>
    <hyperlink ref="A136" r:id="rId61" xr:uid="{69BD942B-A903-4074-BE92-C4BC907110F0}"/>
    <hyperlink ref="A137" r:id="rId62" xr:uid="{EE310741-F1C7-43A2-8DE6-B4C8CBBADDF8}"/>
    <hyperlink ref="A140" r:id="rId63" xr:uid="{B263B692-235B-475A-BD40-0079B9BAFF22}"/>
    <hyperlink ref="A143" r:id="rId64" xr:uid="{FEE7F6FC-586A-40F5-A8C6-DC1C3C4494BC}"/>
  </hyperlinks>
  <pageMargins left="0.25" right="0.25" top="0.25" bottom="0.25" header="0.5" footer="0.5"/>
  <pageSetup orientation="landscape" r:id="rId65"/>
  <legacyDrawing r:id="rId6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66382-281B-43C3-8415-D4D9C7AB5A27}">
  <sheetPr>
    <tabColor rgb="FF92D050"/>
  </sheetPr>
  <dimension ref="A1:D15"/>
  <sheetViews>
    <sheetView zoomScaleNormal="100" workbookViewId="0">
      <selection activeCell="C13" sqref="C13"/>
    </sheetView>
  </sheetViews>
  <sheetFormatPr defaultRowHeight="12.75"/>
  <cols>
    <col min="1" max="1" width="18" customWidth="1"/>
    <col min="2" max="2" width="10.7109375" customWidth="1"/>
    <col min="4" max="4" width="122.7109375" customWidth="1"/>
  </cols>
  <sheetData>
    <row r="1" spans="1:4">
      <c r="A1" s="12" t="s">
        <v>73</v>
      </c>
      <c r="B1" s="12"/>
      <c r="C1" s="12"/>
      <c r="D1" s="12"/>
    </row>
    <row r="3" spans="1:4">
      <c r="B3" t="s">
        <v>79</v>
      </c>
      <c r="C3" t="s">
        <v>80</v>
      </c>
    </row>
    <row r="4" spans="1:4">
      <c r="A4" s="15" t="s">
        <v>74</v>
      </c>
      <c r="B4" s="29"/>
      <c r="D4" t="s">
        <v>390</v>
      </c>
    </row>
    <row r="5" spans="1:4">
      <c r="A5" s="15" t="s">
        <v>75</v>
      </c>
      <c r="B5" s="15">
        <v>80</v>
      </c>
      <c r="D5" s="15" t="s">
        <v>142</v>
      </c>
    </row>
    <row r="6" spans="1:4">
      <c r="A6" s="15" t="s">
        <v>76</v>
      </c>
      <c r="B6" s="15">
        <v>60</v>
      </c>
    </row>
    <row r="7" spans="1:4">
      <c r="A7" s="15" t="s">
        <v>77</v>
      </c>
      <c r="B7" s="29"/>
      <c r="D7" t="s">
        <v>82</v>
      </c>
    </row>
    <row r="8" spans="1:4">
      <c r="A8" s="15" t="s">
        <v>78</v>
      </c>
      <c r="B8" s="15">
        <v>70</v>
      </c>
    </row>
    <row r="9" spans="1:4">
      <c r="A9" s="15" t="s">
        <v>140</v>
      </c>
      <c r="B9" s="15">
        <v>105</v>
      </c>
      <c r="D9" t="s">
        <v>141</v>
      </c>
    </row>
    <row r="10" spans="1:4">
      <c r="A10" s="15" t="s">
        <v>387</v>
      </c>
      <c r="B10" s="15">
        <v>38</v>
      </c>
    </row>
    <row r="11" spans="1:4">
      <c r="A11" s="15" t="s">
        <v>389</v>
      </c>
      <c r="B11" s="15">
        <v>65</v>
      </c>
    </row>
    <row r="12" spans="1:4">
      <c r="A12" s="15" t="s">
        <v>81</v>
      </c>
      <c r="B12" s="15">
        <v>91</v>
      </c>
      <c r="D12" t="s">
        <v>83</v>
      </c>
    </row>
    <row r="13" spans="1:4" ht="13.5" thickBot="1">
      <c r="B13" s="41">
        <f>SUM(B4:B12)</f>
        <v>509</v>
      </c>
      <c r="C13" s="41">
        <f>B13*12</f>
        <v>6108</v>
      </c>
    </row>
    <row r="14" spans="1:4" ht="13.5" thickTop="1"/>
    <row r="15" spans="1:4">
      <c r="B15" t="s">
        <v>30</v>
      </c>
      <c r="C15" s="89">
        <v>6800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I22"/>
  <sheetViews>
    <sheetView workbookViewId="0">
      <selection activeCell="A23" sqref="A23:XFD23"/>
    </sheetView>
  </sheetViews>
  <sheetFormatPr defaultColWidth="9.140625" defaultRowHeight="12.75"/>
  <cols>
    <col min="2" max="2" width="20.5703125" customWidth="1"/>
    <col min="3" max="3" width="12" style="17" bestFit="1" customWidth="1"/>
  </cols>
  <sheetData>
    <row r="2" spans="1:9">
      <c r="A2" s="12" t="s">
        <v>7</v>
      </c>
      <c r="B2" s="12" t="s">
        <v>6</v>
      </c>
      <c r="C2" s="21"/>
      <c r="D2" s="12"/>
      <c r="E2" s="12"/>
      <c r="F2" s="12"/>
      <c r="G2" s="12"/>
      <c r="H2" s="12"/>
      <c r="I2" s="12"/>
    </row>
    <row r="4" spans="1:9">
      <c r="A4" t="s">
        <v>16</v>
      </c>
      <c r="C4" s="28">
        <f>23500+4800</f>
        <v>28300</v>
      </c>
      <c r="E4" s="9" t="s">
        <v>418</v>
      </c>
    </row>
    <row r="5" spans="1:9">
      <c r="A5" t="s">
        <v>377</v>
      </c>
      <c r="C5" s="28">
        <v>1530</v>
      </c>
      <c r="E5" s="9"/>
    </row>
    <row r="6" spans="1:9">
      <c r="A6" t="s">
        <v>8</v>
      </c>
      <c r="C6" s="16">
        <v>60</v>
      </c>
      <c r="E6" t="s">
        <v>378</v>
      </c>
    </row>
    <row r="7" spans="1:9">
      <c r="A7" s="9" t="s">
        <v>34</v>
      </c>
      <c r="C7" s="16">
        <v>1000</v>
      </c>
      <c r="E7" s="9"/>
    </row>
    <row r="8" spans="1:9">
      <c r="A8" s="2" t="s">
        <v>17</v>
      </c>
      <c r="C8" s="16">
        <v>595</v>
      </c>
      <c r="D8" s="11">
        <v>45725</v>
      </c>
      <c r="E8" s="9"/>
    </row>
    <row r="9" spans="1:9">
      <c r="A9" s="9" t="s">
        <v>147</v>
      </c>
      <c r="C9" s="16">
        <v>0</v>
      </c>
      <c r="D9" s="11"/>
      <c r="E9" s="30" t="s">
        <v>148</v>
      </c>
    </row>
    <row r="10" spans="1:9">
      <c r="A10" s="9" t="s">
        <v>143</v>
      </c>
      <c r="C10" s="16">
        <v>685</v>
      </c>
      <c r="D10" s="11" t="s">
        <v>153</v>
      </c>
      <c r="E10" s="30" t="s">
        <v>383</v>
      </c>
    </row>
    <row r="11" spans="1:9">
      <c r="A11" s="9" t="s">
        <v>144</v>
      </c>
      <c r="C11" s="16">
        <v>2750</v>
      </c>
      <c r="D11" s="11" t="s">
        <v>149</v>
      </c>
      <c r="E11" s="9"/>
    </row>
    <row r="12" spans="1:9">
      <c r="A12" s="9" t="s">
        <v>145</v>
      </c>
      <c r="C12" s="16">
        <v>696.5</v>
      </c>
      <c r="D12" s="11" t="s">
        <v>382</v>
      </c>
      <c r="E12" s="9" t="s">
        <v>381</v>
      </c>
    </row>
    <row r="13" spans="1:9">
      <c r="A13" s="9" t="s">
        <v>146</v>
      </c>
      <c r="C13" s="16">
        <v>278</v>
      </c>
      <c r="D13" s="11" t="s">
        <v>382</v>
      </c>
      <c r="E13" s="9" t="s">
        <v>380</v>
      </c>
    </row>
    <row r="14" spans="1:9">
      <c r="A14" s="9" t="s">
        <v>379</v>
      </c>
      <c r="C14" s="16">
        <v>105</v>
      </c>
      <c r="D14" s="11"/>
      <c r="E14" s="9"/>
    </row>
    <row r="15" spans="1:9">
      <c r="A15" s="9" t="s">
        <v>384</v>
      </c>
      <c r="C15" s="16">
        <v>110</v>
      </c>
      <c r="D15" s="11" t="s">
        <v>385</v>
      </c>
      <c r="E15" s="9"/>
    </row>
    <row r="16" spans="1:9">
      <c r="A16" s="9" t="s">
        <v>392</v>
      </c>
      <c r="C16" s="16"/>
      <c r="D16" s="11"/>
      <c r="E16" s="9"/>
    </row>
    <row r="17" spans="1:3" ht="13.5" thickBot="1">
      <c r="C17" s="19">
        <f>SUM(C4:C15)</f>
        <v>36109.5</v>
      </c>
    </row>
    <row r="18" spans="1:3" ht="13.5" thickTop="1"/>
    <row r="19" spans="1:3" ht="13.5" thickBot="1">
      <c r="B19" t="s">
        <v>30</v>
      </c>
      <c r="C19" s="93">
        <v>36110</v>
      </c>
    </row>
    <row r="20" spans="1:3" ht="13.5" thickTop="1"/>
    <row r="21" spans="1:3">
      <c r="B21" t="s">
        <v>27</v>
      </c>
    </row>
    <row r="22" spans="1:3">
      <c r="A22" s="9"/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  <pageSetUpPr fitToPage="1"/>
  </sheetPr>
  <dimension ref="A1:N26"/>
  <sheetViews>
    <sheetView workbookViewId="0">
      <selection activeCell="F25" sqref="F25"/>
    </sheetView>
  </sheetViews>
  <sheetFormatPr defaultColWidth="9.140625" defaultRowHeight="12.75"/>
  <cols>
    <col min="5" max="5" width="18.85546875" customWidth="1"/>
    <col min="6" max="6" width="11.7109375" style="17" customWidth="1"/>
  </cols>
  <sheetData>
    <row r="1" spans="1:14">
      <c r="A1" s="12" t="s">
        <v>405</v>
      </c>
      <c r="B1" s="12"/>
      <c r="C1" s="12"/>
      <c r="D1" s="12"/>
      <c r="E1" s="12"/>
      <c r="F1" s="21"/>
    </row>
    <row r="3" spans="1:14">
      <c r="F3" s="17" t="s">
        <v>416</v>
      </c>
      <c r="H3" s="15"/>
      <c r="I3" s="15"/>
      <c r="J3" s="15"/>
    </row>
    <row r="4" spans="1:14">
      <c r="A4" s="12" t="s">
        <v>13</v>
      </c>
      <c r="B4" s="12" t="s">
        <v>14</v>
      </c>
      <c r="D4" s="4"/>
      <c r="E4" s="5"/>
      <c r="F4" s="20">
        <v>17500</v>
      </c>
      <c r="G4" s="5"/>
      <c r="H4" s="165" t="s">
        <v>388</v>
      </c>
      <c r="I4" s="165"/>
      <c r="J4" s="165"/>
      <c r="K4" s="29"/>
      <c r="L4" s="29"/>
      <c r="M4" s="29"/>
      <c r="N4" s="29"/>
    </row>
    <row r="5" spans="1:14">
      <c r="E5" s="5"/>
      <c r="F5" s="20">
        <f>F4*5%</f>
        <v>875</v>
      </c>
      <c r="G5" s="9"/>
      <c r="H5" s="29" t="s">
        <v>404</v>
      </c>
      <c r="I5" s="29"/>
      <c r="J5" s="29"/>
    </row>
    <row r="6" spans="1:14">
      <c r="E6" s="5"/>
      <c r="F6" s="23">
        <f>SUM(F4:F5)</f>
        <v>18375</v>
      </c>
      <c r="G6" s="9"/>
      <c r="H6" s="15"/>
      <c r="I6" s="15"/>
      <c r="J6" s="15"/>
    </row>
    <row r="7" spans="1:14">
      <c r="E7" s="5" t="s">
        <v>31</v>
      </c>
      <c r="F7" s="20">
        <f>F6*5%</f>
        <v>918.75</v>
      </c>
      <c r="G7" s="9"/>
    </row>
    <row r="8" spans="1:14">
      <c r="E8" s="5" t="s">
        <v>32</v>
      </c>
      <c r="F8" s="20">
        <f>F6*9.975%</f>
        <v>1832.9062499999998</v>
      </c>
      <c r="G8" s="9"/>
    </row>
    <row r="9" spans="1:14">
      <c r="E9" s="5"/>
      <c r="F9" s="23">
        <f>SUM(F6:F8)</f>
        <v>21126.65625</v>
      </c>
      <c r="G9" s="9"/>
    </row>
    <row r="10" spans="1:14">
      <c r="E10" s="26" t="s">
        <v>33</v>
      </c>
      <c r="F10" s="20">
        <f>-(F7+F8)/2</f>
        <v>-1375.828125</v>
      </c>
      <c r="G10" s="9"/>
    </row>
    <row r="11" spans="1:14" ht="13.5" thickBot="1">
      <c r="E11" s="5"/>
      <c r="F11" s="18">
        <f>SUM(F9:F10)</f>
        <v>19750.828125</v>
      </c>
      <c r="G11" s="9"/>
    </row>
    <row r="12" spans="1:14" ht="13.5" thickTop="1">
      <c r="E12" s="5"/>
      <c r="F12" s="20"/>
      <c r="G12" s="9"/>
    </row>
    <row r="13" spans="1:14" ht="13.5" thickBot="1">
      <c r="E13" s="5"/>
      <c r="F13" s="27">
        <v>19800</v>
      </c>
      <c r="G13" s="9"/>
    </row>
    <row r="14" spans="1:14" ht="13.5" thickTop="1">
      <c r="E14" s="5"/>
      <c r="F14" s="20"/>
      <c r="G14" s="9"/>
    </row>
    <row r="15" spans="1:14">
      <c r="F15" s="20"/>
    </row>
    <row r="16" spans="1:14" s="5" customFormat="1">
      <c r="A16" s="24"/>
      <c r="B16" s="24"/>
      <c r="C16" s="24"/>
      <c r="D16" s="4"/>
      <c r="E16" s="166"/>
      <c r="F16" s="174" t="s">
        <v>417</v>
      </c>
      <c r="G16" s="165"/>
      <c r="H16" s="165"/>
    </row>
    <row r="17" spans="6:6" s="5" customFormat="1">
      <c r="F17" s="20"/>
    </row>
    <row r="18" spans="6:6" s="5" customFormat="1">
      <c r="F18" s="20">
        <v>17730</v>
      </c>
    </row>
    <row r="19" spans="6:6" s="5" customFormat="1">
      <c r="F19" s="20">
        <f>F18*5%</f>
        <v>886.5</v>
      </c>
    </row>
    <row r="20" spans="6:6" s="5" customFormat="1">
      <c r="F20" s="23">
        <f>SUM(F18:F19)</f>
        <v>18616.5</v>
      </c>
    </row>
    <row r="21" spans="6:6" s="5" customFormat="1">
      <c r="F21" s="20">
        <f>F20*5%</f>
        <v>930.82500000000005</v>
      </c>
    </row>
    <row r="22" spans="6:6">
      <c r="F22" s="20">
        <f>F20*9.975%</f>
        <v>1856.9958749999998</v>
      </c>
    </row>
    <row r="23" spans="6:6">
      <c r="F23" s="23">
        <f>SUM(F20:F22)</f>
        <v>21404.320875000001</v>
      </c>
    </row>
    <row r="24" spans="6:6">
      <c r="F24" s="20">
        <f>-(F21+F22)/2</f>
        <v>-1393.9104374999999</v>
      </c>
    </row>
    <row r="25" spans="6:6" ht="13.5" thickBot="1">
      <c r="F25" s="18">
        <f>SUM(F23:F24)</f>
        <v>20010.410437500002</v>
      </c>
    </row>
    <row r="26" spans="6:6" ht="13.5" thickTop="1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C3B8-1000-42C7-BCB1-B19C0D56C933}">
  <sheetPr>
    <tabColor rgb="FF92D050"/>
  </sheetPr>
  <dimension ref="A3:F18"/>
  <sheetViews>
    <sheetView topLeftCell="A2" workbookViewId="0">
      <selection activeCell="B25" sqref="B25"/>
    </sheetView>
  </sheetViews>
  <sheetFormatPr defaultRowHeight="12.75"/>
  <cols>
    <col min="6" max="6" width="14.85546875" style="3" customWidth="1"/>
  </cols>
  <sheetData>
    <row r="3" spans="1:6">
      <c r="A3" s="169" t="s">
        <v>406</v>
      </c>
    </row>
    <row r="5" spans="1:6">
      <c r="A5" t="s">
        <v>407</v>
      </c>
      <c r="F5" s="3">
        <v>24000</v>
      </c>
    </row>
    <row r="6" spans="1:6">
      <c r="A6" t="s">
        <v>408</v>
      </c>
      <c r="F6" s="3">
        <v>147931</v>
      </c>
    </row>
    <row r="7" spans="1:6">
      <c r="F7" s="168">
        <f>SUM(F5:F6)</f>
        <v>171931</v>
      </c>
    </row>
    <row r="10" spans="1:6">
      <c r="A10" s="169" t="s">
        <v>409</v>
      </c>
    </row>
    <row r="12" spans="1:6">
      <c r="A12" t="s">
        <v>410</v>
      </c>
      <c r="F12" s="3">
        <v>172300</v>
      </c>
    </row>
    <row r="13" spans="1:6">
      <c r="A13" t="s">
        <v>411</v>
      </c>
      <c r="F13" s="3">
        <v>26400</v>
      </c>
    </row>
    <row r="14" spans="1:6">
      <c r="A14" t="s">
        <v>412</v>
      </c>
      <c r="F14" s="3">
        <v>45500</v>
      </c>
    </row>
    <row r="15" spans="1:6">
      <c r="F15" s="168">
        <f>SUM(F12:F14)</f>
        <v>244200</v>
      </c>
    </row>
    <row r="17" spans="1:6" ht="13.5" thickBot="1">
      <c r="A17" s="169" t="s">
        <v>3</v>
      </c>
      <c r="F17" s="170">
        <f>F15+F7</f>
        <v>416131</v>
      </c>
    </row>
    <row r="18" spans="1:6" ht="13.5" thickTop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2631A-717C-491B-B2B2-73CD082FF531}">
  <sheetPr>
    <tabColor rgb="FF92D050"/>
  </sheetPr>
  <dimension ref="A2:J63"/>
  <sheetViews>
    <sheetView topLeftCell="A7" workbookViewId="0">
      <selection activeCell="J60" sqref="J60"/>
    </sheetView>
  </sheetViews>
  <sheetFormatPr defaultColWidth="9.140625" defaultRowHeight="12.75"/>
  <cols>
    <col min="1" max="1" width="34" customWidth="1"/>
    <col min="2" max="2" width="19.28515625" style="25" customWidth="1"/>
    <col min="3" max="3" width="25.28515625" customWidth="1"/>
    <col min="4" max="4" width="10.85546875" customWidth="1"/>
    <col min="7" max="7" width="16.7109375" customWidth="1"/>
    <col min="8" max="8" width="12.140625" style="32" customWidth="1"/>
    <col min="10" max="10" width="16.7109375" customWidth="1"/>
  </cols>
  <sheetData>
    <row r="2" spans="1:10">
      <c r="A2" s="14" t="s">
        <v>95</v>
      </c>
      <c r="B2" s="14"/>
      <c r="C2" s="12"/>
      <c r="D2" s="12"/>
      <c r="E2" s="12"/>
      <c r="F2" s="12"/>
      <c r="G2" s="12"/>
      <c r="H2" s="78"/>
      <c r="I2" s="51"/>
      <c r="J2" s="12"/>
    </row>
    <row r="3" spans="1:10" ht="13.5" thickBot="1">
      <c r="B3"/>
      <c r="E3" s="52"/>
      <c r="I3" s="53"/>
    </row>
    <row r="4" spans="1:10" ht="13.5" thickBot="1">
      <c r="A4" s="185" t="s">
        <v>96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>
      <c r="A5" s="54"/>
      <c r="B5" s="54"/>
      <c r="C5" s="54"/>
      <c r="D5" s="54"/>
      <c r="E5" s="55"/>
      <c r="F5" s="54"/>
      <c r="G5" s="54"/>
      <c r="H5" s="79"/>
      <c r="I5" s="56"/>
      <c r="J5" s="54"/>
    </row>
    <row r="6" spans="1:10">
      <c r="A6" s="57" t="s">
        <v>97</v>
      </c>
      <c r="B6" s="58" t="s">
        <v>98</v>
      </c>
      <c r="C6" s="58" t="s">
        <v>99</v>
      </c>
      <c r="D6" s="58" t="s">
        <v>100</v>
      </c>
      <c r="E6" s="59"/>
      <c r="F6" s="58" t="s">
        <v>101</v>
      </c>
      <c r="G6" s="60" t="s">
        <v>102</v>
      </c>
      <c r="H6" s="186" t="s">
        <v>103</v>
      </c>
      <c r="I6" s="186"/>
      <c r="J6" s="58" t="s">
        <v>104</v>
      </c>
    </row>
    <row r="7" spans="1:10">
      <c r="A7" s="1"/>
      <c r="B7" s="1"/>
      <c r="C7" s="1"/>
      <c r="D7" s="1"/>
      <c r="E7" s="59"/>
      <c r="F7" s="1"/>
      <c r="G7" s="61"/>
      <c r="H7" s="80"/>
      <c r="I7" s="62"/>
      <c r="J7" s="1"/>
    </row>
    <row r="8" spans="1:10">
      <c r="A8" s="1"/>
      <c r="B8" s="1"/>
      <c r="C8" s="1"/>
      <c r="D8" s="1"/>
      <c r="E8" s="59"/>
      <c r="F8" s="1"/>
      <c r="G8" s="61"/>
      <c r="H8" s="80"/>
      <c r="I8" s="62"/>
      <c r="J8" s="1"/>
    </row>
    <row r="9" spans="1:10">
      <c r="A9" s="1"/>
      <c r="B9" s="1"/>
      <c r="C9" s="1"/>
      <c r="D9" s="1"/>
      <c r="E9" s="59"/>
      <c r="F9" s="1"/>
      <c r="G9" s="61"/>
      <c r="H9" s="80"/>
      <c r="I9" s="62"/>
      <c r="J9" s="1"/>
    </row>
    <row r="10" spans="1:10">
      <c r="A10" s="127" t="s">
        <v>105</v>
      </c>
      <c r="B10" s="1"/>
      <c r="C10" s="1"/>
      <c r="D10" s="1"/>
      <c r="E10" s="59"/>
      <c r="F10" s="1"/>
      <c r="G10" s="61"/>
      <c r="H10" s="80"/>
      <c r="I10" s="62"/>
      <c r="J10" s="1"/>
    </row>
    <row r="11" spans="1:10">
      <c r="A11" s="1"/>
      <c r="B11" s="1"/>
      <c r="C11" s="1"/>
      <c r="D11" s="1"/>
      <c r="E11" s="59"/>
      <c r="F11" s="1"/>
      <c r="G11" s="61"/>
      <c r="H11" s="80"/>
      <c r="I11" s="62"/>
      <c r="J11" s="1"/>
    </row>
    <row r="12" spans="1:10">
      <c r="A12" s="64">
        <v>43132</v>
      </c>
      <c r="B12" s="65" t="s">
        <v>106</v>
      </c>
      <c r="C12" s="65" t="s">
        <v>107</v>
      </c>
      <c r="D12" s="66">
        <v>7500</v>
      </c>
      <c r="E12" s="59"/>
      <c r="F12" s="66">
        <v>2500</v>
      </c>
      <c r="G12" s="61" t="s">
        <v>108</v>
      </c>
      <c r="H12" s="81" t="s">
        <v>109</v>
      </c>
      <c r="I12" s="67">
        <v>500</v>
      </c>
      <c r="J12" s="66"/>
    </row>
    <row r="13" spans="1:10">
      <c r="A13" s="64"/>
      <c r="B13" s="65"/>
      <c r="C13" s="65"/>
      <c r="D13" s="66"/>
      <c r="E13" s="59"/>
      <c r="F13" s="66"/>
      <c r="G13" s="61" t="s">
        <v>110</v>
      </c>
      <c r="H13" s="80"/>
      <c r="I13" s="62"/>
      <c r="J13" s="66"/>
    </row>
    <row r="14" spans="1:10">
      <c r="A14" s="1"/>
      <c r="B14" s="1"/>
      <c r="C14" s="1"/>
      <c r="D14" s="1"/>
      <c r="E14" s="59"/>
      <c r="F14" s="1"/>
      <c r="G14" s="61"/>
      <c r="H14" s="80">
        <v>2020</v>
      </c>
      <c r="I14" s="62">
        <v>1500</v>
      </c>
      <c r="J14" s="1"/>
    </row>
    <row r="15" spans="1:10">
      <c r="A15" s="1"/>
      <c r="B15" s="1"/>
      <c r="C15" s="1"/>
      <c r="D15" s="1"/>
      <c r="E15" s="59"/>
      <c r="F15" s="1"/>
      <c r="G15" s="61"/>
      <c r="H15" s="80">
        <v>2021</v>
      </c>
      <c r="I15" s="62">
        <v>1500</v>
      </c>
      <c r="J15" s="1"/>
    </row>
    <row r="16" spans="1:10">
      <c r="A16" s="1"/>
      <c r="B16" s="1"/>
      <c r="C16" s="1"/>
      <c r="D16" s="1"/>
      <c r="E16" s="59"/>
      <c r="F16" s="1"/>
      <c r="G16" s="61"/>
      <c r="H16" s="80">
        <v>2022</v>
      </c>
      <c r="I16" s="62">
        <v>1500</v>
      </c>
      <c r="J16" s="120">
        <v>5000</v>
      </c>
    </row>
    <row r="17" spans="1:10">
      <c r="A17" s="1"/>
      <c r="B17" s="1"/>
      <c r="C17" s="1"/>
      <c r="D17" s="1"/>
      <c r="E17" s="59"/>
      <c r="F17" s="1"/>
      <c r="G17" s="61"/>
      <c r="H17" s="80"/>
      <c r="I17" s="62"/>
      <c r="J17" s="68"/>
    </row>
    <row r="18" spans="1:10">
      <c r="A18" s="1"/>
      <c r="B18" s="1"/>
      <c r="C18" s="1"/>
      <c r="D18" s="1"/>
      <c r="E18" s="59"/>
      <c r="F18" s="1"/>
      <c r="G18" s="61"/>
      <c r="H18" s="124" t="s">
        <v>374</v>
      </c>
      <c r="I18" s="125"/>
      <c r="J18" s="140"/>
    </row>
    <row r="19" spans="1:10">
      <c r="A19" s="63"/>
      <c r="B19" s="1"/>
      <c r="C19" s="1"/>
      <c r="D19" s="1"/>
      <c r="E19" s="59"/>
      <c r="F19" s="1"/>
      <c r="G19" s="61"/>
      <c r="H19" s="80"/>
      <c r="I19" s="62"/>
      <c r="J19" s="1"/>
    </row>
    <row r="20" spans="1:10">
      <c r="A20" s="1"/>
      <c r="B20" s="1"/>
      <c r="C20" s="1"/>
      <c r="D20" s="1"/>
      <c r="E20" s="59"/>
      <c r="F20" s="1"/>
      <c r="G20" s="61"/>
      <c r="H20" s="80"/>
      <c r="I20" s="62"/>
      <c r="J20" s="1"/>
    </row>
    <row r="21" spans="1:10">
      <c r="A21" s="64"/>
      <c r="B21" s="65"/>
      <c r="C21" s="65"/>
      <c r="D21" s="66"/>
      <c r="E21" s="59"/>
      <c r="F21" s="66"/>
      <c r="G21" s="61"/>
      <c r="H21" s="80"/>
      <c r="I21" s="62"/>
      <c r="J21" s="66"/>
    </row>
    <row r="22" spans="1:10">
      <c r="A22" s="1"/>
      <c r="B22" s="1"/>
      <c r="C22" s="1"/>
      <c r="D22" s="1"/>
      <c r="E22" s="59"/>
      <c r="F22" s="1"/>
      <c r="G22" s="61"/>
      <c r="H22" s="80"/>
      <c r="I22" s="62"/>
      <c r="J22" s="1"/>
    </row>
    <row r="23" spans="1:10">
      <c r="A23" s="1"/>
      <c r="B23" s="1"/>
      <c r="C23" s="1"/>
      <c r="D23" s="1"/>
      <c r="E23" s="59"/>
      <c r="F23" s="1"/>
      <c r="G23" s="61"/>
      <c r="H23" s="80"/>
      <c r="I23" s="62"/>
      <c r="J23" s="1"/>
    </row>
    <row r="24" spans="1:10">
      <c r="A24" s="127" t="s">
        <v>111</v>
      </c>
      <c r="B24" s="1"/>
      <c r="C24" s="1"/>
      <c r="D24" s="1"/>
      <c r="E24" s="59"/>
      <c r="F24" s="1"/>
      <c r="G24" s="61"/>
      <c r="H24" s="80"/>
      <c r="I24" s="62"/>
      <c r="J24" s="1"/>
    </row>
    <row r="25" spans="1:10">
      <c r="A25" s="1"/>
      <c r="B25" s="1"/>
      <c r="C25" s="1"/>
      <c r="D25" s="1"/>
      <c r="E25" s="59"/>
      <c r="F25" s="1"/>
      <c r="G25" s="61"/>
      <c r="H25" s="80"/>
      <c r="I25" s="62"/>
      <c r="J25" s="1"/>
    </row>
    <row r="26" spans="1:10">
      <c r="A26" s="64">
        <v>42773</v>
      </c>
      <c r="B26" s="65" t="s">
        <v>106</v>
      </c>
      <c r="C26" s="65" t="s">
        <v>107</v>
      </c>
      <c r="D26" s="66">
        <v>25000</v>
      </c>
      <c r="E26" s="59"/>
      <c r="F26" s="66">
        <v>14000</v>
      </c>
      <c r="G26" s="61" t="s">
        <v>112</v>
      </c>
      <c r="H26" s="80"/>
      <c r="I26" s="62"/>
      <c r="J26" s="1"/>
    </row>
    <row r="27" spans="1:10">
      <c r="A27" s="64"/>
      <c r="B27" s="65"/>
      <c r="C27" s="65"/>
      <c r="D27" s="66"/>
      <c r="E27" s="59"/>
      <c r="F27" s="66"/>
      <c r="G27" s="61" t="s">
        <v>113</v>
      </c>
      <c r="H27" s="80"/>
      <c r="I27" s="62"/>
      <c r="J27" s="66"/>
    </row>
    <row r="28" spans="1:10">
      <c r="A28" s="64"/>
      <c r="B28" s="65"/>
      <c r="C28" s="65"/>
      <c r="D28" s="66"/>
      <c r="E28" s="59"/>
      <c r="F28" s="66"/>
      <c r="G28" s="61" t="s">
        <v>114</v>
      </c>
      <c r="H28" s="80">
        <v>2019</v>
      </c>
      <c r="I28" s="62">
        <v>1000</v>
      </c>
      <c r="J28" s="68"/>
    </row>
    <row r="29" spans="1:10">
      <c r="A29" s="64"/>
      <c r="B29" s="65"/>
      <c r="C29" s="65"/>
      <c r="D29" s="66"/>
      <c r="E29" s="59"/>
      <c r="F29" s="66"/>
      <c r="G29" s="61"/>
      <c r="H29" s="80">
        <v>2020</v>
      </c>
      <c r="I29" s="62">
        <v>5000</v>
      </c>
      <c r="J29" s="68"/>
    </row>
    <row r="30" spans="1:10">
      <c r="A30" s="64"/>
      <c r="B30" s="65"/>
      <c r="C30" s="65"/>
      <c r="D30" s="66"/>
      <c r="E30" s="59"/>
      <c r="F30" s="66"/>
      <c r="G30" s="61"/>
      <c r="H30" s="80">
        <v>2021</v>
      </c>
      <c r="I30" s="62">
        <v>5000</v>
      </c>
      <c r="J30" s="121">
        <v>4200</v>
      </c>
    </row>
    <row r="31" spans="1:10">
      <c r="A31" s="1"/>
      <c r="B31" s="1"/>
      <c r="C31" s="1"/>
      <c r="D31" s="1"/>
      <c r="E31" s="59"/>
      <c r="F31" s="1"/>
      <c r="G31" s="61"/>
      <c r="H31" s="80"/>
      <c r="I31" s="62"/>
      <c r="J31" s="1"/>
    </row>
    <row r="32" spans="1:10" ht="31.5" customHeight="1">
      <c r="A32" s="1"/>
      <c r="B32" s="1"/>
      <c r="C32" s="1"/>
      <c r="D32" s="1"/>
      <c r="E32" s="59"/>
      <c r="F32" s="1"/>
      <c r="G32" s="187" t="s">
        <v>115</v>
      </c>
      <c r="H32" s="187"/>
      <c r="I32" s="187"/>
      <c r="J32" s="84"/>
    </row>
    <row r="33" spans="1:10">
      <c r="A33" s="71"/>
      <c r="B33" s="1"/>
      <c r="C33" s="1"/>
      <c r="D33" s="1"/>
      <c r="E33" s="1"/>
      <c r="F33" s="1"/>
      <c r="G33" s="70" t="s">
        <v>116</v>
      </c>
      <c r="H33" s="82"/>
      <c r="I33" s="69"/>
      <c r="J33" s="1"/>
    </row>
    <row r="34" spans="1:10">
      <c r="A34" s="1"/>
      <c r="B34" s="1"/>
      <c r="C34" s="1"/>
      <c r="D34" s="1"/>
      <c r="E34" s="1"/>
      <c r="F34" s="1"/>
      <c r="G34" s="124" t="s">
        <v>375</v>
      </c>
      <c r="H34" s="69"/>
      <c r="I34" s="139"/>
    </row>
    <row r="35" spans="1:10">
      <c r="A35" s="72"/>
      <c r="B35" s="73"/>
      <c r="C35" s="73"/>
      <c r="D35" s="68"/>
      <c r="E35" s="1"/>
      <c r="F35" s="68"/>
      <c r="G35" s="70" t="s">
        <v>391</v>
      </c>
      <c r="H35" s="82"/>
      <c r="I35" s="69"/>
      <c r="J35" s="68"/>
    </row>
    <row r="36" spans="1:10">
      <c r="A36" s="126" t="s">
        <v>132</v>
      </c>
      <c r="B36" s="1"/>
      <c r="C36" s="1"/>
      <c r="D36" s="1"/>
      <c r="E36" s="1"/>
      <c r="F36" s="1"/>
      <c r="G36" s="61"/>
      <c r="H36" s="80"/>
      <c r="I36" s="62"/>
      <c r="J36" s="68"/>
    </row>
    <row r="37" spans="1:10">
      <c r="A37" s="1"/>
      <c r="B37" s="1"/>
      <c r="C37" s="1"/>
      <c r="D37" s="1"/>
      <c r="E37" s="59"/>
      <c r="F37" s="1"/>
      <c r="G37" s="61"/>
      <c r="H37" s="80"/>
      <c r="I37" s="62"/>
      <c r="J37" s="1"/>
    </row>
    <row r="38" spans="1:10">
      <c r="A38" s="64">
        <v>43355</v>
      </c>
      <c r="B38" s="65" t="s">
        <v>117</v>
      </c>
      <c r="C38" s="65" t="s">
        <v>118</v>
      </c>
      <c r="D38" s="66">
        <v>100000</v>
      </c>
      <c r="E38" s="59"/>
      <c r="F38" s="66">
        <v>40000</v>
      </c>
      <c r="G38" s="61" t="s">
        <v>119</v>
      </c>
      <c r="H38" s="80"/>
      <c r="I38" s="62"/>
      <c r="J38" s="1"/>
    </row>
    <row r="39" spans="1:10">
      <c r="A39" s="64"/>
      <c r="B39" s="65"/>
      <c r="C39" s="65"/>
      <c r="D39" s="66"/>
      <c r="E39" s="59"/>
      <c r="F39" s="66"/>
      <c r="G39" s="61" t="s">
        <v>120</v>
      </c>
      <c r="H39" s="80"/>
      <c r="I39" s="62"/>
      <c r="J39" s="66"/>
    </row>
    <row r="40" spans="1:10">
      <c r="A40" s="64"/>
      <c r="B40" s="65"/>
      <c r="C40" s="65"/>
      <c r="D40" s="66"/>
      <c r="E40" s="59"/>
      <c r="F40" s="66"/>
      <c r="G40" s="61" t="s">
        <v>121</v>
      </c>
      <c r="H40" s="80"/>
      <c r="I40" s="62"/>
      <c r="J40" s="66"/>
    </row>
    <row r="41" spans="1:10">
      <c r="A41" s="64"/>
      <c r="B41" s="65"/>
      <c r="C41" s="65"/>
      <c r="D41" s="66"/>
      <c r="E41" s="59"/>
      <c r="F41" s="66"/>
      <c r="G41" s="61" t="s">
        <v>122</v>
      </c>
      <c r="H41" s="80"/>
      <c r="I41" s="62"/>
      <c r="J41" s="66"/>
    </row>
    <row r="42" spans="1:10">
      <c r="A42" s="64"/>
      <c r="B42" s="65"/>
      <c r="C42" s="65"/>
      <c r="D42" s="66"/>
      <c r="E42" s="59"/>
      <c r="F42" s="66"/>
      <c r="G42" s="61" t="s">
        <v>123</v>
      </c>
      <c r="H42" s="80"/>
      <c r="I42" s="62"/>
      <c r="J42" s="66"/>
    </row>
    <row r="43" spans="1:10">
      <c r="A43" s="64"/>
      <c r="B43" s="65"/>
      <c r="C43" s="65"/>
      <c r="D43" s="66"/>
      <c r="E43" s="59"/>
      <c r="F43" s="66"/>
      <c r="G43" s="61" t="s">
        <v>124</v>
      </c>
      <c r="H43" s="80"/>
      <c r="I43" s="62"/>
      <c r="J43" s="66"/>
    </row>
    <row r="44" spans="1:10">
      <c r="A44" s="64"/>
      <c r="B44" s="65"/>
      <c r="C44" s="65"/>
      <c r="D44" s="66"/>
      <c r="E44" s="59"/>
      <c r="F44" s="66"/>
      <c r="G44" s="61" t="s">
        <v>373</v>
      </c>
      <c r="H44" s="85"/>
      <c r="I44" s="86"/>
      <c r="J44" s="66"/>
    </row>
    <row r="45" spans="1:10">
      <c r="A45" s="64"/>
      <c r="B45" s="65"/>
      <c r="C45" s="65"/>
      <c r="D45" s="66"/>
      <c r="E45" s="59"/>
      <c r="F45" s="66"/>
      <c r="G45" s="61"/>
      <c r="H45" s="118" t="s">
        <v>125</v>
      </c>
      <c r="I45" s="119">
        <v>10000</v>
      </c>
      <c r="J45" s="66"/>
    </row>
    <row r="46" spans="1:10">
      <c r="A46" s="64"/>
      <c r="B46" s="65"/>
      <c r="C46" s="65"/>
      <c r="D46" s="66"/>
      <c r="E46" s="59"/>
      <c r="F46" s="66"/>
      <c r="G46" s="61"/>
      <c r="H46" s="80" t="s">
        <v>126</v>
      </c>
      <c r="I46" s="62">
        <v>10000</v>
      </c>
      <c r="J46" s="66"/>
    </row>
    <row r="47" spans="1:10">
      <c r="A47" s="1"/>
      <c r="B47" s="1"/>
      <c r="C47" s="1"/>
      <c r="D47" s="1"/>
      <c r="E47" s="59"/>
      <c r="F47" s="1"/>
      <c r="G47" s="61"/>
      <c r="H47" s="80" t="s">
        <v>127</v>
      </c>
      <c r="I47" s="62">
        <v>10000</v>
      </c>
      <c r="J47" s="122">
        <f>SUM(I45:I47)</f>
        <v>30000</v>
      </c>
    </row>
    <row r="48" spans="1:10">
      <c r="A48" s="1"/>
      <c r="B48" s="1"/>
      <c r="C48" s="1"/>
      <c r="D48" s="1"/>
      <c r="E48" s="59"/>
      <c r="F48" s="1"/>
      <c r="G48" s="61"/>
      <c r="H48" s="80"/>
      <c r="I48" s="62"/>
      <c r="J48" s="1"/>
    </row>
    <row r="49" spans="1:10">
      <c r="A49" s="64"/>
      <c r="B49" s="65"/>
      <c r="C49" s="65"/>
      <c r="D49" s="66"/>
      <c r="E49" s="59"/>
      <c r="F49" s="66"/>
      <c r="G49" s="61"/>
      <c r="H49" s="80"/>
      <c r="I49" s="62"/>
      <c r="J49" s="66"/>
    </row>
    <row r="50" spans="1:10">
      <c r="A50" s="128" t="s">
        <v>128</v>
      </c>
      <c r="B50" s="65" t="s">
        <v>129</v>
      </c>
      <c r="C50" s="65">
        <v>2002</v>
      </c>
      <c r="D50" s="66">
        <v>20000</v>
      </c>
      <c r="E50" s="59"/>
      <c r="F50" s="66">
        <v>13333.34</v>
      </c>
      <c r="G50" s="61"/>
      <c r="H50" s="80" t="s">
        <v>130</v>
      </c>
      <c r="I50" s="66">
        <f>C50-E50</f>
        <v>2002</v>
      </c>
      <c r="J50" s="120">
        <f>D50-F50</f>
        <v>6666.66</v>
      </c>
    </row>
    <row r="51" spans="1:10">
      <c r="A51" s="64"/>
      <c r="B51" s="65"/>
      <c r="C51" s="65"/>
      <c r="D51" s="66"/>
      <c r="E51" s="59"/>
      <c r="F51" s="66"/>
      <c r="G51" s="61"/>
      <c r="H51" s="80"/>
      <c r="I51" s="62"/>
      <c r="J51" s="66"/>
    </row>
    <row r="52" spans="1:10">
      <c r="A52" s="64"/>
      <c r="B52" s="65"/>
      <c r="C52" s="65"/>
      <c r="D52" s="66"/>
      <c r="E52" s="59"/>
      <c r="F52" s="66"/>
      <c r="G52" s="61"/>
      <c r="H52" s="124" t="s">
        <v>374</v>
      </c>
      <c r="I52" s="125"/>
      <c r="J52" s="140"/>
    </row>
    <row r="53" spans="1:10">
      <c r="A53" s="1"/>
      <c r="B53" s="1"/>
      <c r="C53" s="1"/>
      <c r="D53" s="1"/>
      <c r="E53" s="59"/>
      <c r="F53" s="1"/>
      <c r="G53" s="61"/>
      <c r="H53" s="80"/>
      <c r="I53" s="62"/>
      <c r="J53" s="1"/>
    </row>
    <row r="54" spans="1:10">
      <c r="A54" s="1"/>
      <c r="B54" s="1"/>
      <c r="C54" s="1"/>
      <c r="D54" s="1"/>
      <c r="E54" s="59"/>
      <c r="F54" s="1"/>
      <c r="G54" s="61"/>
      <c r="H54" s="80"/>
      <c r="I54" s="62"/>
      <c r="J54" s="1"/>
    </row>
    <row r="55" spans="1:10" ht="13.5" thickBot="1">
      <c r="A55" s="1"/>
      <c r="B55" s="63" t="s">
        <v>131</v>
      </c>
      <c r="C55" s="1"/>
      <c r="D55" s="66"/>
      <c r="E55" s="59"/>
      <c r="F55" s="66"/>
      <c r="G55" s="61"/>
      <c r="H55" s="80" t="s">
        <v>369</v>
      </c>
      <c r="I55" s="62"/>
      <c r="J55" s="123">
        <f>J47</f>
        <v>30000</v>
      </c>
    </row>
    <row r="56" spans="1:10" ht="14.25" thickTop="1" thickBot="1">
      <c r="A56" s="74"/>
      <c r="B56" s="74"/>
      <c r="C56" s="74"/>
      <c r="D56" s="74"/>
      <c r="E56" s="75"/>
      <c r="F56" s="74"/>
      <c r="G56" s="76"/>
      <c r="H56" s="83"/>
      <c r="I56" s="77"/>
      <c r="J56" s="74"/>
    </row>
    <row r="58" spans="1:10">
      <c r="A58" s="129" t="s">
        <v>372</v>
      </c>
      <c r="B58" s="130"/>
      <c r="C58" s="129"/>
      <c r="D58" s="129"/>
      <c r="E58" s="129"/>
      <c r="F58" s="129"/>
      <c r="G58" s="129"/>
      <c r="H58" s="131"/>
      <c r="I58" s="129"/>
      <c r="J58" s="132">
        <f>I45</f>
        <v>10000</v>
      </c>
    </row>
    <row r="59" spans="1:10">
      <c r="A59" s="129" t="s">
        <v>370</v>
      </c>
      <c r="B59" s="130"/>
      <c r="C59" s="129"/>
      <c r="D59" s="129"/>
      <c r="E59" s="129"/>
      <c r="F59" s="129"/>
      <c r="G59" s="129"/>
      <c r="H59" s="131"/>
      <c r="I59" s="129"/>
      <c r="J59" s="133">
        <v>500000</v>
      </c>
    </row>
    <row r="60" spans="1:10">
      <c r="A60" s="129"/>
      <c r="B60" s="130"/>
      <c r="C60" s="129"/>
      <c r="D60" s="129"/>
      <c r="E60" s="129"/>
      <c r="F60" s="129"/>
      <c r="G60" s="129"/>
      <c r="H60" s="131"/>
      <c r="I60" s="129"/>
      <c r="J60" s="132"/>
    </row>
    <row r="61" spans="1:10" ht="13.5" thickBot="1">
      <c r="A61" s="129" t="s">
        <v>371</v>
      </c>
      <c r="B61" s="130"/>
      <c r="C61" s="129"/>
      <c r="D61" s="129"/>
      <c r="E61" s="129"/>
      <c r="F61" s="129"/>
      <c r="G61" s="129"/>
      <c r="H61" s="131"/>
      <c r="I61" s="129"/>
      <c r="J61" s="134">
        <f>SUM(J58:J60)</f>
        <v>510000</v>
      </c>
    </row>
    <row r="62" spans="1:10">
      <c r="A62" s="129"/>
      <c r="B62" s="130"/>
      <c r="C62" s="129"/>
      <c r="D62" s="129"/>
      <c r="E62" s="129"/>
      <c r="F62" s="129"/>
      <c r="G62" s="129"/>
      <c r="H62" s="131"/>
      <c r="I62" s="129"/>
      <c r="J62" s="129"/>
    </row>
    <row r="63" spans="1:10">
      <c r="A63" s="129"/>
      <c r="B63" s="130"/>
      <c r="C63" s="129"/>
      <c r="D63" s="129"/>
      <c r="E63" s="129"/>
      <c r="F63" s="129"/>
      <c r="G63" s="129"/>
      <c r="H63" s="131"/>
      <c r="I63" s="129"/>
      <c r="J63" s="129"/>
    </row>
  </sheetData>
  <mergeCells count="3">
    <mergeCell ref="A4:J4"/>
    <mergeCell ref="H6:I6"/>
    <mergeCell ref="G32:I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2E841-DC60-4FDE-BC7F-64A6B04E245E}">
  <sheetPr>
    <tabColor rgb="FFFF00FF"/>
  </sheetPr>
  <dimension ref="A1:H43"/>
  <sheetViews>
    <sheetView topLeftCell="A13" zoomScale="180" zoomScaleNormal="180" workbookViewId="0">
      <selection activeCell="L56" sqref="L56"/>
    </sheetView>
  </sheetViews>
  <sheetFormatPr defaultRowHeight="12.75"/>
  <cols>
    <col min="1" max="1" width="14.7109375" customWidth="1"/>
  </cols>
  <sheetData>
    <row r="1" spans="1:8">
      <c r="A1" s="12" t="s">
        <v>57</v>
      </c>
      <c r="B1" s="12"/>
      <c r="C1" s="12"/>
    </row>
    <row r="3" spans="1:8">
      <c r="A3" s="12" t="s">
        <v>58</v>
      </c>
      <c r="B3" s="12"/>
      <c r="C3" s="12"/>
      <c r="E3" s="88" t="s">
        <v>136</v>
      </c>
    </row>
    <row r="5" spans="1:8">
      <c r="A5">
        <v>1</v>
      </c>
      <c r="B5">
        <v>10000</v>
      </c>
    </row>
    <row r="6" spans="1:8">
      <c r="A6">
        <v>2</v>
      </c>
      <c r="B6">
        <v>10000</v>
      </c>
    </row>
    <row r="7" spans="1:8">
      <c r="A7">
        <v>3</v>
      </c>
      <c r="B7">
        <v>10000</v>
      </c>
    </row>
    <row r="8" spans="1:8">
      <c r="A8">
        <v>4</v>
      </c>
      <c r="B8">
        <v>10000</v>
      </c>
    </row>
    <row r="9" spans="1:8" ht="13.5" thickBot="1">
      <c r="B9" s="91">
        <f>SUM(B5:B8)</f>
        <v>40000</v>
      </c>
    </row>
    <row r="10" spans="1:8" ht="13.5" thickTop="1"/>
    <row r="11" spans="1:8">
      <c r="B11" s="92"/>
    </row>
    <row r="14" spans="1:8">
      <c r="A14" s="12" t="s">
        <v>59</v>
      </c>
      <c r="B14" s="12"/>
      <c r="C14" s="12"/>
      <c r="E14" s="88"/>
      <c r="F14" s="88"/>
      <c r="G14" s="88"/>
      <c r="H14" s="88"/>
    </row>
    <row r="16" spans="1:8">
      <c r="A16">
        <v>1</v>
      </c>
      <c r="B16">
        <v>9500</v>
      </c>
      <c r="C16" t="s">
        <v>137</v>
      </c>
    </row>
    <row r="17" spans="1:4">
      <c r="A17">
        <v>2</v>
      </c>
      <c r="B17">
        <v>3800</v>
      </c>
      <c r="C17" t="s">
        <v>138</v>
      </c>
    </row>
    <row r="18" spans="1:4">
      <c r="A18">
        <v>3</v>
      </c>
      <c r="B18">
        <v>8500</v>
      </c>
      <c r="C18" t="s">
        <v>139</v>
      </c>
    </row>
    <row r="19" spans="1:4">
      <c r="A19" t="s">
        <v>60</v>
      </c>
      <c r="B19" s="42">
        <f>SUM(B16:B18)</f>
        <v>21800</v>
      </c>
    </row>
    <row r="21" spans="1:4">
      <c r="A21" t="s">
        <v>61</v>
      </c>
      <c r="B21" s="42">
        <v>10200</v>
      </c>
      <c r="D21" t="s">
        <v>65</v>
      </c>
    </row>
    <row r="23" spans="1:4" ht="13.5" thickBot="1">
      <c r="A23" t="s">
        <v>62</v>
      </c>
      <c r="B23" s="87">
        <f>SUM(B19:B22)</f>
        <v>32000</v>
      </c>
    </row>
    <row r="24" spans="1:4" ht="13.5" thickTop="1"/>
    <row r="27" spans="1:4">
      <c r="A27" t="s">
        <v>64</v>
      </c>
    </row>
    <row r="28" spans="1:4">
      <c r="A28" t="s">
        <v>63</v>
      </c>
    </row>
    <row r="31" spans="1:4">
      <c r="A31" s="12" t="s">
        <v>69</v>
      </c>
      <c r="B31" s="12"/>
      <c r="C31" s="12"/>
    </row>
    <row r="33" spans="2:3">
      <c r="B33">
        <f>200*4</f>
        <v>800</v>
      </c>
      <c r="C33" t="s">
        <v>70</v>
      </c>
    </row>
    <row r="34" spans="2:3">
      <c r="B34">
        <v>6450</v>
      </c>
      <c r="C34" t="s">
        <v>133</v>
      </c>
    </row>
    <row r="35" spans="2:3">
      <c r="B35">
        <v>930</v>
      </c>
      <c r="C35" t="s">
        <v>72</v>
      </c>
    </row>
    <row r="36" spans="2:3">
      <c r="B36">
        <v>8700</v>
      </c>
      <c r="C36" t="s">
        <v>71</v>
      </c>
    </row>
    <row r="37" spans="2:3">
      <c r="B37">
        <v>100</v>
      </c>
      <c r="C37" t="s">
        <v>134</v>
      </c>
    </row>
    <row r="38" spans="2:3">
      <c r="B38">
        <v>250</v>
      </c>
      <c r="C38" t="s">
        <v>135</v>
      </c>
    </row>
    <row r="39" spans="2:3" ht="13.5" thickBot="1">
      <c r="B39" s="87">
        <f>SUM(B33:B38)</f>
        <v>17230</v>
      </c>
    </row>
    <row r="40" spans="2:3" ht="13.5" thickTop="1"/>
    <row r="43" spans="2:3">
      <c r="B43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S16"/>
  <sheetViews>
    <sheetView zoomScale="150" zoomScaleNormal="150" workbookViewId="0">
      <selection activeCell="D39" sqref="D39"/>
    </sheetView>
  </sheetViews>
  <sheetFormatPr defaultColWidth="9.140625" defaultRowHeight="12.75"/>
  <cols>
    <col min="6" max="6" width="16.5703125" style="17" customWidth="1"/>
    <col min="7" max="7" width="11" style="3" bestFit="1" customWidth="1"/>
    <col min="11" max="11" width="2.42578125" customWidth="1"/>
    <col min="12" max="12" width="11.140625" customWidth="1"/>
    <col min="16" max="16" width="10.7109375" customWidth="1"/>
    <col min="19" max="19" width="10.85546875" customWidth="1"/>
  </cols>
  <sheetData>
    <row r="1" spans="1:19">
      <c r="A1" s="14" t="s">
        <v>22</v>
      </c>
      <c r="B1" s="12"/>
      <c r="C1" s="12"/>
      <c r="D1" s="12"/>
      <c r="E1" s="12"/>
      <c r="F1" s="21"/>
      <c r="G1" s="13"/>
      <c r="H1" s="12"/>
      <c r="I1" s="12"/>
      <c r="J1" s="12"/>
    </row>
    <row r="3" spans="1:19">
      <c r="A3" s="2" t="s">
        <v>15</v>
      </c>
      <c r="F3" s="16"/>
      <c r="H3" s="9"/>
      <c r="L3" s="3"/>
      <c r="Q3" s="5"/>
      <c r="R3" s="5"/>
      <c r="S3" s="6"/>
    </row>
    <row r="4" spans="1:19">
      <c r="A4" s="2"/>
      <c r="B4" t="s">
        <v>386</v>
      </c>
      <c r="F4" s="16">
        <v>8000</v>
      </c>
      <c r="H4" s="9"/>
      <c r="L4" s="3"/>
      <c r="Q4" s="5"/>
      <c r="R4" s="5"/>
      <c r="S4" s="6"/>
    </row>
    <row r="5" spans="1:19">
      <c r="B5" t="s">
        <v>397</v>
      </c>
      <c r="F5" s="17">
        <v>500</v>
      </c>
      <c r="H5" s="9"/>
      <c r="L5" s="3"/>
      <c r="S5" s="3"/>
    </row>
    <row r="6" spans="1:19">
      <c r="B6" s="9" t="s">
        <v>398</v>
      </c>
      <c r="F6" s="17">
        <v>5000</v>
      </c>
      <c r="G6" s="10"/>
      <c r="H6" s="9" t="s">
        <v>21</v>
      </c>
      <c r="L6" s="3"/>
    </row>
    <row r="7" spans="1:19">
      <c r="B7" s="9" t="s">
        <v>395</v>
      </c>
      <c r="F7" s="17">
        <v>10000</v>
      </c>
      <c r="G7" s="10"/>
      <c r="H7" s="9" t="s">
        <v>53</v>
      </c>
      <c r="L7" s="3"/>
    </row>
    <row r="8" spans="1:19">
      <c r="B8" s="9"/>
      <c r="G8" s="10"/>
      <c r="H8" s="9"/>
      <c r="L8" s="3"/>
    </row>
    <row r="9" spans="1:19" ht="13.5" thickBot="1">
      <c r="F9" s="94">
        <f>SUM(F3:F8)</f>
        <v>23500</v>
      </c>
      <c r="L9" s="6"/>
    </row>
    <row r="10" spans="1:19" ht="13.5" thickTop="1"/>
    <row r="11" spans="1:19">
      <c r="A11" s="9" t="s">
        <v>20</v>
      </c>
    </row>
    <row r="12" spans="1:19">
      <c r="A12" s="9"/>
    </row>
    <row r="13" spans="1:19">
      <c r="A13" s="9" t="s">
        <v>54</v>
      </c>
      <c r="B13" s="7"/>
      <c r="C13" s="7"/>
      <c r="D13" s="7"/>
      <c r="E13" s="7"/>
      <c r="F13" s="22" t="s">
        <v>399</v>
      </c>
      <c r="G13" s="8"/>
      <c r="H13" s="7"/>
      <c r="I13" s="7"/>
      <c r="J13" s="7"/>
    </row>
    <row r="14" spans="1:19">
      <c r="B14" s="7"/>
      <c r="C14" s="7"/>
      <c r="D14" s="7"/>
      <c r="E14" s="7"/>
      <c r="F14" s="22"/>
      <c r="G14" s="8"/>
      <c r="H14" s="7"/>
      <c r="I14" s="7"/>
      <c r="J14" s="7"/>
    </row>
    <row r="15" spans="1:19">
      <c r="A15" s="9" t="s">
        <v>55</v>
      </c>
      <c r="B15" s="7"/>
      <c r="C15" s="7"/>
      <c r="D15" s="7"/>
      <c r="E15" s="7"/>
      <c r="F15" s="22" t="s">
        <v>400</v>
      </c>
      <c r="G15" s="8"/>
      <c r="H15" s="7"/>
      <c r="I15" s="7"/>
      <c r="J15" s="7"/>
    </row>
    <row r="16" spans="1:19">
      <c r="B16" s="7"/>
      <c r="C16" s="7"/>
      <c r="D16" s="7"/>
      <c r="E16" s="7"/>
      <c r="F16" s="22"/>
      <c r="G16" s="8"/>
      <c r="H16" s="7"/>
      <c r="I16" s="7"/>
      <c r="J16" s="7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89671-5A0D-499D-808E-E80730445A5E}">
  <sheetPr>
    <tabColor rgb="FF92D050"/>
  </sheetPr>
  <dimension ref="A1:D21"/>
  <sheetViews>
    <sheetView topLeftCell="A14" workbookViewId="0">
      <selection activeCell="C21" sqref="C21"/>
    </sheetView>
  </sheetViews>
  <sheetFormatPr defaultColWidth="8.85546875" defaultRowHeight="15"/>
  <cols>
    <col min="1" max="1" width="8.85546875" style="33"/>
    <col min="2" max="2" width="29.140625" style="33" bestFit="1" customWidth="1"/>
    <col min="3" max="3" width="19.85546875" style="151" customWidth="1"/>
    <col min="4" max="4" width="44.5703125" style="33" customWidth="1"/>
    <col min="5" max="16384" width="8.85546875" style="33"/>
  </cols>
  <sheetData>
    <row r="1" spans="1:4">
      <c r="A1" s="34" t="s">
        <v>52</v>
      </c>
    </row>
    <row r="3" spans="1:4" ht="24" customHeight="1">
      <c r="A3" s="188" t="s">
        <v>394</v>
      </c>
      <c r="B3" s="188"/>
      <c r="C3" s="188"/>
      <c r="D3" s="188"/>
    </row>
    <row r="4" spans="1:4" ht="60" customHeight="1">
      <c r="A4" s="43" t="s">
        <v>45</v>
      </c>
      <c r="B4" s="189" t="s">
        <v>84</v>
      </c>
      <c r="C4" s="190"/>
      <c r="D4" s="191"/>
    </row>
    <row r="5" spans="1:4" ht="60" customHeight="1">
      <c r="A5" s="44">
        <v>1</v>
      </c>
      <c r="B5" s="44" t="s">
        <v>85</v>
      </c>
      <c r="C5" s="152">
        <v>5822</v>
      </c>
      <c r="D5" s="45" t="s">
        <v>86</v>
      </c>
    </row>
    <row r="6" spans="1:4" ht="60" customHeight="1">
      <c r="A6" s="43">
        <v>2</v>
      </c>
      <c r="B6" s="43" t="s">
        <v>87</v>
      </c>
      <c r="C6" s="153">
        <v>1000</v>
      </c>
      <c r="D6" s="46" t="s">
        <v>92</v>
      </c>
    </row>
    <row r="7" spans="1:4" ht="60" customHeight="1">
      <c r="A7" s="43">
        <v>3</v>
      </c>
      <c r="B7" s="43" t="s">
        <v>88</v>
      </c>
      <c r="C7" s="153">
        <v>6000</v>
      </c>
      <c r="D7" s="47" t="s">
        <v>152</v>
      </c>
    </row>
    <row r="8" spans="1:4" ht="60" customHeight="1">
      <c r="A8" s="43">
        <v>4</v>
      </c>
      <c r="B8" s="43" t="s">
        <v>46</v>
      </c>
      <c r="C8" s="153">
        <v>1400</v>
      </c>
      <c r="D8" s="47" t="s">
        <v>47</v>
      </c>
    </row>
    <row r="9" spans="1:4" ht="60" customHeight="1">
      <c r="A9" s="43">
        <v>5</v>
      </c>
      <c r="B9" s="43" t="s">
        <v>48</v>
      </c>
      <c r="C9" s="153">
        <v>125</v>
      </c>
      <c r="D9" s="43"/>
    </row>
    <row r="10" spans="1:4" ht="60" customHeight="1">
      <c r="A10" s="43">
        <v>6</v>
      </c>
      <c r="B10" s="43" t="s">
        <v>49</v>
      </c>
      <c r="C10" s="154">
        <v>3000</v>
      </c>
      <c r="D10" s="47" t="s">
        <v>93</v>
      </c>
    </row>
    <row r="11" spans="1:4" ht="60" customHeight="1">
      <c r="A11" s="44">
        <v>7</v>
      </c>
      <c r="B11" s="44" t="s">
        <v>50</v>
      </c>
      <c r="C11" s="155">
        <v>7000</v>
      </c>
      <c r="D11" s="45" t="s">
        <v>403</v>
      </c>
    </row>
    <row r="12" spans="1:4" ht="60" customHeight="1">
      <c r="A12" s="43">
        <v>8</v>
      </c>
      <c r="B12" s="43" t="s">
        <v>51</v>
      </c>
      <c r="C12" s="153">
        <v>310</v>
      </c>
      <c r="D12" s="43" t="s">
        <v>94</v>
      </c>
    </row>
    <row r="13" spans="1:4" ht="60" customHeight="1">
      <c r="A13" s="43">
        <v>9</v>
      </c>
      <c r="B13" s="43" t="s">
        <v>89</v>
      </c>
      <c r="C13" s="153">
        <v>2100</v>
      </c>
      <c r="D13" s="47" t="s">
        <v>90</v>
      </c>
    </row>
    <row r="14" spans="1:4" ht="60" customHeight="1">
      <c r="A14" s="43">
        <v>10</v>
      </c>
      <c r="B14" s="43" t="s">
        <v>401</v>
      </c>
      <c r="C14" s="153">
        <v>85000</v>
      </c>
      <c r="D14" s="47"/>
    </row>
    <row r="15" spans="1:4" ht="60" customHeight="1">
      <c r="A15" s="43">
        <v>11</v>
      </c>
      <c r="B15" s="43" t="s">
        <v>393</v>
      </c>
      <c r="C15" s="153">
        <v>150000</v>
      </c>
      <c r="D15" s="47"/>
    </row>
    <row r="16" spans="1:4" ht="60" customHeight="1">
      <c r="A16" s="43"/>
      <c r="B16" s="48" t="s">
        <v>91</v>
      </c>
      <c r="C16" s="49">
        <f>SUM(C5:C15)</f>
        <v>261757</v>
      </c>
      <c r="D16" s="43"/>
    </row>
    <row r="20" spans="2:4" ht="15.75" thickBot="1">
      <c r="B20" s="172" t="s">
        <v>413</v>
      </c>
      <c r="C20" s="173">
        <v>160000</v>
      </c>
      <c r="D20" s="171" t="s">
        <v>414</v>
      </c>
    </row>
    <row r="21" spans="2:4" ht="15.75" thickTop="1">
      <c r="D21" s="171" t="s">
        <v>415</v>
      </c>
    </row>
  </sheetData>
  <mergeCells count="2">
    <mergeCell ref="A3:D3"/>
    <mergeCell ref="B4:D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F718F-B733-4F44-8B72-60CEDFB5FD0D}">
  <sheetPr>
    <tabColor rgb="FF92D050"/>
  </sheetPr>
  <dimension ref="A1:I11"/>
  <sheetViews>
    <sheetView zoomScaleNormal="100" workbookViewId="0">
      <selection activeCell="I51" sqref="I51"/>
    </sheetView>
  </sheetViews>
  <sheetFormatPr defaultColWidth="8.85546875" defaultRowHeight="15"/>
  <cols>
    <col min="1" max="1" width="8.85546875" style="33"/>
    <col min="2" max="2" width="29.140625" style="33" bestFit="1" customWidth="1"/>
    <col min="3" max="3" width="19.85546875" style="35" customWidth="1"/>
    <col min="4" max="4" width="44.5703125" style="33" customWidth="1"/>
    <col min="5" max="16384" width="8.85546875" style="33"/>
  </cols>
  <sheetData>
    <row r="1" spans="1:9">
      <c r="A1" s="36" t="s">
        <v>56</v>
      </c>
      <c r="B1" s="37"/>
      <c r="C1" s="38"/>
      <c r="D1" s="37"/>
    </row>
    <row r="3" spans="1:9">
      <c r="A3" s="50"/>
    </row>
    <row r="5" spans="1:9">
      <c r="A5" s="156"/>
      <c r="B5" s="156"/>
      <c r="C5" s="157"/>
      <c r="D5" s="156"/>
    </row>
    <row r="6" spans="1:9" ht="15.75" thickBot="1">
      <c r="A6" s="156"/>
      <c r="B6" s="158" t="s">
        <v>402</v>
      </c>
      <c r="C6" s="164">
        <v>20000</v>
      </c>
      <c r="D6" s="159"/>
    </row>
    <row r="7" spans="1:9">
      <c r="A7" s="156"/>
      <c r="B7" s="156"/>
      <c r="C7" s="157"/>
      <c r="D7" s="156"/>
    </row>
    <row r="10" spans="1:9">
      <c r="A10" s="160"/>
      <c r="B10" s="160" t="s">
        <v>49</v>
      </c>
      <c r="C10" s="161" t="s">
        <v>396</v>
      </c>
      <c r="D10" s="162"/>
    </row>
    <row r="11" spans="1:9">
      <c r="A11" s="160"/>
      <c r="B11" s="160" t="s">
        <v>50</v>
      </c>
      <c r="C11" s="161" t="s">
        <v>396</v>
      </c>
      <c r="D11" s="163"/>
      <c r="G11" s="39"/>
      <c r="H11" s="40"/>
      <c r="I11" s="40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FF"/>
    <pageSetUpPr fitToPage="1"/>
  </sheetPr>
  <dimension ref="A2:P38"/>
  <sheetViews>
    <sheetView workbookViewId="0">
      <selection activeCell="C67" sqref="C67"/>
    </sheetView>
  </sheetViews>
  <sheetFormatPr defaultColWidth="9.140625" defaultRowHeight="12.75"/>
  <cols>
    <col min="1" max="1" width="9.140625" customWidth="1"/>
    <col min="8" max="8" width="11" style="17" bestFit="1" customWidth="1"/>
    <col min="10" max="10" width="18.5703125" customWidth="1"/>
    <col min="14" max="14" width="16.42578125" customWidth="1"/>
  </cols>
  <sheetData>
    <row r="2" spans="1:16">
      <c r="A2" s="12" t="s">
        <v>9</v>
      </c>
      <c r="B2" s="12" t="s">
        <v>10</v>
      </c>
      <c r="C2" s="12"/>
      <c r="D2" s="12"/>
      <c r="E2" s="12"/>
      <c r="F2" s="12"/>
      <c r="G2" s="12"/>
      <c r="H2" s="21"/>
      <c r="I2" s="12"/>
      <c r="J2" s="2"/>
      <c r="K2" s="2"/>
    </row>
    <row r="3" spans="1:16">
      <c r="J3" s="2"/>
      <c r="K3" s="2"/>
    </row>
    <row r="4" spans="1:16">
      <c r="N4" s="29" t="s">
        <v>154</v>
      </c>
    </row>
    <row r="5" spans="1:16">
      <c r="J5" s="2"/>
    </row>
    <row r="6" spans="1:16">
      <c r="J6" s="2"/>
    </row>
    <row r="7" spans="1:16">
      <c r="B7" t="s">
        <v>25</v>
      </c>
      <c r="H7" s="17">
        <v>0</v>
      </c>
      <c r="J7" s="9" t="s">
        <v>24</v>
      </c>
    </row>
    <row r="8" spans="1:16">
      <c r="B8" t="s">
        <v>11</v>
      </c>
      <c r="H8" s="16">
        <v>1000</v>
      </c>
      <c r="J8" s="9" t="s">
        <v>24</v>
      </c>
    </row>
    <row r="9" spans="1:16">
      <c r="B9" t="s">
        <v>37</v>
      </c>
      <c r="H9" s="16">
        <v>2000</v>
      </c>
      <c r="J9" s="9"/>
      <c r="K9" t="s">
        <v>35</v>
      </c>
    </row>
    <row r="10" spans="1:16">
      <c r="B10" s="9" t="s">
        <v>150</v>
      </c>
      <c r="H10" s="17">
        <v>1500</v>
      </c>
      <c r="J10" s="9"/>
    </row>
    <row r="11" spans="1:16">
      <c r="B11" s="9" t="s">
        <v>151</v>
      </c>
      <c r="H11" s="17">
        <v>4800</v>
      </c>
      <c r="N11">
        <v>4710</v>
      </c>
      <c r="P11" t="s">
        <v>155</v>
      </c>
    </row>
    <row r="12" spans="1:16">
      <c r="H12" s="23">
        <f>SUM(H5:H11)</f>
        <v>9300</v>
      </c>
    </row>
    <row r="14" spans="1:16">
      <c r="B14" s="9" t="s">
        <v>36</v>
      </c>
      <c r="F14" s="9"/>
      <c r="H14" s="17">
        <v>850</v>
      </c>
    </row>
    <row r="15" spans="1:16">
      <c r="H15" s="23">
        <f>SUM(H14:H14)</f>
        <v>850</v>
      </c>
    </row>
    <row r="17" spans="2:8" ht="13.5" thickBot="1">
      <c r="B17" t="s">
        <v>12</v>
      </c>
      <c r="H17" s="95">
        <f>H12+H15</f>
        <v>10150</v>
      </c>
    </row>
    <row r="38" spans="10:10">
      <c r="J38" s="15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I17"/>
  <sheetViews>
    <sheetView workbookViewId="0">
      <selection activeCell="D23" sqref="D23"/>
    </sheetView>
  </sheetViews>
  <sheetFormatPr defaultColWidth="9.140625" defaultRowHeight="12.75"/>
  <cols>
    <col min="2" max="2" width="20.5703125" customWidth="1"/>
    <col min="3" max="3" width="11" style="17" bestFit="1" customWidth="1"/>
  </cols>
  <sheetData>
    <row r="2" spans="1:9">
      <c r="A2" s="12" t="s">
        <v>38</v>
      </c>
      <c r="B2" s="12" t="s">
        <v>39</v>
      </c>
      <c r="C2" s="21"/>
      <c r="D2" s="12"/>
      <c r="E2" s="12"/>
      <c r="F2" s="12"/>
      <c r="G2" s="12"/>
      <c r="H2" s="12"/>
      <c r="I2" s="12"/>
    </row>
    <row r="4" spans="1:9">
      <c r="A4" s="15"/>
      <c r="B4" s="15" t="s">
        <v>40</v>
      </c>
      <c r="C4" s="28">
        <v>300</v>
      </c>
      <c r="D4" s="15" t="s">
        <v>153</v>
      </c>
      <c r="E4" s="30" t="s">
        <v>68</v>
      </c>
      <c r="F4" s="15"/>
      <c r="G4" s="15"/>
      <c r="H4" s="15"/>
      <c r="I4" s="15"/>
    </row>
    <row r="5" spans="1:9">
      <c r="A5" s="15"/>
      <c r="B5" s="15" t="s">
        <v>41</v>
      </c>
      <c r="C5" s="28"/>
      <c r="D5" s="15"/>
      <c r="E5" s="30" t="s">
        <v>66</v>
      </c>
      <c r="F5" s="15"/>
      <c r="G5" s="15"/>
      <c r="H5" s="15"/>
      <c r="I5" s="15"/>
    </row>
    <row r="6" spans="1:9">
      <c r="A6" s="15"/>
      <c r="B6" s="15" t="s">
        <v>42</v>
      </c>
      <c r="C6" s="28">
        <v>0</v>
      </c>
      <c r="D6" s="15"/>
      <c r="E6" s="30" t="s">
        <v>67</v>
      </c>
      <c r="F6" s="15"/>
      <c r="G6" s="15"/>
      <c r="H6" s="15"/>
      <c r="I6" s="15"/>
    </row>
    <row r="7" spans="1:9">
      <c r="A7" s="15"/>
      <c r="B7" s="15" t="s">
        <v>43</v>
      </c>
      <c r="C7" s="16"/>
      <c r="D7" s="15"/>
      <c r="E7" s="15"/>
      <c r="F7" s="15"/>
      <c r="G7" s="15"/>
      <c r="H7" s="15"/>
      <c r="I7" s="15"/>
    </row>
    <row r="8" spans="1:9">
      <c r="A8" s="15"/>
      <c r="B8" s="15"/>
      <c r="C8" s="16"/>
      <c r="D8" s="15"/>
      <c r="E8" s="15"/>
      <c r="F8" s="15"/>
      <c r="G8" s="15"/>
      <c r="H8" s="15"/>
      <c r="I8" s="15"/>
    </row>
    <row r="9" spans="1:9">
      <c r="A9" s="30"/>
      <c r="B9" s="15"/>
      <c r="C9" s="16"/>
      <c r="D9" s="31"/>
      <c r="E9" s="30"/>
      <c r="F9" s="15"/>
      <c r="G9" s="15"/>
      <c r="H9" s="15"/>
      <c r="I9" s="15"/>
    </row>
    <row r="10" spans="1:9" ht="13.5" thickBot="1">
      <c r="C10" s="90">
        <f>SUM(C4:C9)</f>
        <v>300</v>
      </c>
    </row>
    <row r="11" spans="1:9" s="17" customFormat="1" ht="13.5" thickTop="1">
      <c r="A11"/>
      <c r="B11"/>
      <c r="D11"/>
      <c r="E11"/>
      <c r="F11"/>
      <c r="G11"/>
      <c r="H11"/>
      <c r="I11"/>
    </row>
    <row r="14" spans="1:9" s="17" customFormat="1">
      <c r="A14"/>
      <c r="B14" t="s">
        <v>27</v>
      </c>
      <c r="D14"/>
      <c r="E14"/>
      <c r="F14"/>
      <c r="G14"/>
      <c r="H14"/>
      <c r="I14"/>
    </row>
    <row r="15" spans="1:9" s="17" customFormat="1">
      <c r="A15" s="9"/>
      <c r="B15"/>
      <c r="D15"/>
      <c r="E15"/>
      <c r="F15"/>
      <c r="G15"/>
      <c r="H15"/>
      <c r="I15"/>
    </row>
    <row r="17" spans="1:9" s="16" customFormat="1">
      <c r="A17" s="15"/>
      <c r="B17" s="15"/>
      <c r="D17" s="15"/>
      <c r="E17" s="15"/>
      <c r="F17" s="15"/>
      <c r="G17" s="15"/>
      <c r="H17" s="15"/>
      <c r="I17" s="1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Budget 2025-2026</vt:lpstr>
      <vt:lpstr>Investment revenue</vt:lpstr>
      <vt:lpstr>20-4100 CC old and new</vt:lpstr>
      <vt:lpstr>10-5100 10-5105 10-5115 Mailing</vt:lpstr>
      <vt:lpstr>10-5120 publicity</vt:lpstr>
      <vt:lpstr>10-5125 Marketing Materials-MC</vt:lpstr>
      <vt:lpstr>10-5130 Donor recognition</vt:lpstr>
      <vt:lpstr>10-7050 Business Dvpt </vt:lpstr>
      <vt:lpstr>10-7055 Dues and Memberships</vt:lpstr>
      <vt:lpstr>10-8115 telephone</vt:lpstr>
      <vt:lpstr>10-8300 software</vt:lpstr>
      <vt:lpstr>10-8520 Audit</vt:lpstr>
      <vt:lpstr>'10-5120 publicity'!Print_Area</vt:lpstr>
    </vt:vector>
  </TitlesOfParts>
  <Company>lgh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lgh</dc:creator>
  <cp:lastModifiedBy>Maggie Costa </cp:lastModifiedBy>
  <cp:lastPrinted>2025-03-20T16:25:06Z</cp:lastPrinted>
  <dcterms:created xsi:type="dcterms:W3CDTF">2015-02-23T13:49:10Z</dcterms:created>
  <dcterms:modified xsi:type="dcterms:W3CDTF">2025-04-29T14:48:30Z</dcterms:modified>
</cp:coreProperties>
</file>