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dir_Autres Activites\dep_Managing Director\Board\Board Documents\1 - Meetings\Board Meetings 2024\2. May 9 (In person)\"/>
    </mc:Choice>
  </mc:AlternateContent>
  <xr:revisionPtr revIDLastSave="0" documentId="13_ncr:1_{6403F3E7-7234-4796-AEFC-73001C95594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budget " sheetId="15" r:id="rId1"/>
    <sheet name="20-4100 CC" sheetId="28" r:id="rId2"/>
    <sheet name="10-4900 Investment Income" sheetId="17" r:id="rId3"/>
    <sheet name="10-5100 10-5105 10-5115 Mailing" sheetId="26" r:id="rId4"/>
    <sheet name="10-5120 publicity" sheetId="10" r:id="rId5"/>
    <sheet name="10-5125 Marketing Materials-MC" sheetId="23" r:id="rId6"/>
    <sheet name="10-5130 Donor recognition" sheetId="25" r:id="rId7"/>
    <sheet name="10-7050 Business Dvpt " sheetId="7" r:id="rId8"/>
    <sheet name="10-7055 Dues and Memberships" sheetId="22" r:id="rId9"/>
    <sheet name="10-8115 telephone" sheetId="27" r:id="rId10"/>
    <sheet name="10-8300 software" sheetId="5" r:id="rId11"/>
    <sheet name="10-8520 Audit &amp; Consulting" sheetId="8" r:id="rId12"/>
    <sheet name="changes after final budget appr" sheetId="19" r:id="rId13"/>
    <sheet name="next year budget" sheetId="20" r:id="rId14"/>
  </sheets>
  <definedNames>
    <definedName name="_xlnm.Print_Area" localSheetId="4">'10-5120 publicity'!$A$1:$L$16</definedName>
    <definedName name="_xlnm.Print_Titles" localSheetId="0">'budget '!$1:$7</definedName>
  </definedNames>
  <calcPr calcId="191029"/>
</workbook>
</file>

<file path=xl/calcChain.xml><?xml version="1.0" encoding="utf-8"?>
<calcChain xmlns="http://schemas.openxmlformats.org/spreadsheetml/2006/main">
  <c r="S95" i="15" l="1"/>
  <c r="S94" i="15"/>
  <c r="S101" i="15" l="1"/>
  <c r="C18" i="5"/>
  <c r="I81" i="15"/>
  <c r="J81" i="15"/>
  <c r="K81" i="15"/>
  <c r="L81" i="15"/>
  <c r="M81" i="15"/>
  <c r="N81" i="15"/>
  <c r="O81" i="15"/>
  <c r="P81" i="15"/>
  <c r="Q81" i="15"/>
  <c r="S81" i="15"/>
  <c r="T81" i="15"/>
  <c r="Q106" i="15"/>
  <c r="R83" i="15" l="1"/>
  <c r="S46" i="15" l="1"/>
  <c r="S59" i="15" l="1"/>
  <c r="AA16" i="15" l="1"/>
  <c r="AB16" i="15" s="1"/>
  <c r="S92" i="15"/>
  <c r="R12" i="15"/>
  <c r="AA12" i="15" s="1"/>
  <c r="AB12" i="15" s="1"/>
  <c r="R11" i="15"/>
  <c r="AA11" i="15" s="1"/>
  <c r="AB11" i="15" s="1"/>
  <c r="R10" i="15"/>
  <c r="S17" i="15" l="1"/>
  <c r="J55" i="28"/>
  <c r="J50" i="28"/>
  <c r="I50" i="28"/>
  <c r="T109" i="15" l="1"/>
  <c r="T115" i="15"/>
  <c r="C14" i="23"/>
  <c r="S102" i="15" s="1"/>
  <c r="R76" i="15" l="1"/>
  <c r="R77" i="15"/>
  <c r="Q77" i="15"/>
  <c r="Q76" i="15"/>
  <c r="R60" i="15" l="1"/>
  <c r="R86" i="15"/>
  <c r="R106" i="15"/>
  <c r="R78" i="15"/>
  <c r="R97" i="15"/>
  <c r="R51" i="15"/>
  <c r="R37" i="15"/>
  <c r="R15" i="15"/>
  <c r="R109" i="15" l="1"/>
  <c r="R111" i="15" s="1"/>
  <c r="R119" i="15" s="1"/>
  <c r="R115" i="15"/>
  <c r="R116" i="15"/>
  <c r="R18" i="15"/>
  <c r="R53" i="15" s="1"/>
  <c r="S18" i="15"/>
  <c r="R117" i="15" l="1"/>
  <c r="R121" i="15" s="1"/>
  <c r="R113" i="15"/>
  <c r="P10" i="15"/>
  <c r="AA10" i="15" s="1"/>
  <c r="AB10" i="15" s="1"/>
  <c r="R120" i="15" l="1"/>
  <c r="Q97" i="15"/>
  <c r="Q86" i="15"/>
  <c r="Q109" i="15"/>
  <c r="Q46" i="15"/>
  <c r="Q43" i="15"/>
  <c r="Q51" i="15" s="1"/>
  <c r="Q15" i="15"/>
  <c r="Q18" i="15" s="1"/>
  <c r="Q78" i="15"/>
  <c r="Q60" i="15"/>
  <c r="Q37" i="15"/>
  <c r="Q116" i="15" l="1"/>
  <c r="Q115" i="15"/>
  <c r="Q111" i="15"/>
  <c r="Q119" i="15" s="1"/>
  <c r="Q53" i="15"/>
  <c r="G14" i="17"/>
  <c r="G18" i="17" s="1"/>
  <c r="Q117" i="15" l="1"/>
  <c r="Q121" i="15" s="1"/>
  <c r="Q113" i="15"/>
  <c r="Q120" i="15" l="1"/>
  <c r="C60" i="15" l="1"/>
  <c r="D60" i="15"/>
  <c r="E60" i="15"/>
  <c r="F60" i="15"/>
  <c r="G60" i="15"/>
  <c r="H60" i="15"/>
  <c r="I60" i="15"/>
  <c r="J60" i="15"/>
  <c r="K60" i="15"/>
  <c r="M60" i="15"/>
  <c r="N60" i="15"/>
  <c r="O60" i="15"/>
  <c r="P60" i="15"/>
  <c r="B60" i="15"/>
  <c r="F5" i="8" l="1"/>
  <c r="F6" i="8" s="1"/>
  <c r="B11" i="27"/>
  <c r="C11" i="27" s="1"/>
  <c r="B33" i="26"/>
  <c r="B39" i="26" s="1"/>
  <c r="B19" i="26"/>
  <c r="B23" i="26" s="1"/>
  <c r="B9" i="26"/>
  <c r="F8" i="8" l="1"/>
  <c r="F7" i="8"/>
  <c r="F10" i="8" s="1"/>
  <c r="S58" i="15"/>
  <c r="S60" i="15" s="1"/>
  <c r="T60" i="15"/>
  <c r="C7" i="25"/>
  <c r="S89" i="15" s="1"/>
  <c r="F10" i="10"/>
  <c r="T78" i="15" l="1"/>
  <c r="T51" i="15"/>
  <c r="T37" i="15"/>
  <c r="T116" i="15" s="1"/>
  <c r="T117" i="15" s="1"/>
  <c r="P109" i="15"/>
  <c r="P18" i="15"/>
  <c r="P78" i="15"/>
  <c r="P51" i="15"/>
  <c r="P37" i="15"/>
  <c r="P53" i="15" l="1"/>
  <c r="P115" i="15"/>
  <c r="T18" i="15"/>
  <c r="T53" i="15" s="1"/>
  <c r="P116" i="15"/>
  <c r="P111" i="15"/>
  <c r="P119" i="15" s="1"/>
  <c r="O78" i="15"/>
  <c r="O35" i="15"/>
  <c r="P117" i="15" l="1"/>
  <c r="P120" i="15" s="1"/>
  <c r="P113" i="15"/>
  <c r="P121" i="15" l="1"/>
  <c r="O15" i="15"/>
  <c r="AA15" i="15" s="1"/>
  <c r="AB15" i="15" s="1"/>
  <c r="S115" i="15"/>
  <c r="N15" i="15"/>
  <c r="O107" i="15"/>
  <c r="O97" i="15"/>
  <c r="O86" i="15"/>
  <c r="S78" i="15" l="1"/>
  <c r="S51" i="15"/>
  <c r="S37" i="15"/>
  <c r="S53" i="15" s="1"/>
  <c r="S116" i="15" l="1"/>
  <c r="S117" i="15" s="1"/>
  <c r="C10" i="22" l="1"/>
  <c r="S90" i="15" s="1"/>
  <c r="F19" i="8" l="1"/>
  <c r="S86" i="15" s="1"/>
  <c r="F9" i="8"/>
  <c r="F11" i="8" s="1"/>
  <c r="N35" i="15" l="1"/>
  <c r="O115" i="15" l="1"/>
  <c r="N86" i="15" l="1"/>
  <c r="N97" i="15"/>
  <c r="N12" i="15"/>
  <c r="N17" i="15"/>
  <c r="N115" i="15" l="1"/>
  <c r="N109" i="15"/>
  <c r="N78" i="15"/>
  <c r="N51" i="15"/>
  <c r="N37" i="15"/>
  <c r="N18" i="15"/>
  <c r="N53" i="15" l="1"/>
  <c r="N116" i="15"/>
  <c r="N117" i="15" s="1"/>
  <c r="N111" i="15"/>
  <c r="N119" i="15" s="1"/>
  <c r="N113" i="15" l="1"/>
  <c r="N120" i="15"/>
  <c r="N121" i="15"/>
  <c r="M26" i="15" l="1"/>
  <c r="M29" i="15"/>
  <c r="M24" i="15"/>
  <c r="M86" i="15" l="1"/>
  <c r="M97" i="15"/>
  <c r="M15" i="15"/>
  <c r="O109" i="15"/>
  <c r="O51" i="15"/>
  <c r="O18" i="15"/>
  <c r="O37" i="15"/>
  <c r="O116" i="15" l="1"/>
  <c r="O117" i="15" s="1"/>
  <c r="O111" i="15"/>
  <c r="O119" i="15" s="1"/>
  <c r="O53" i="15"/>
  <c r="O121" i="15" l="1"/>
  <c r="O120" i="15"/>
  <c r="O113" i="15"/>
  <c r="L57" i="15" l="1"/>
  <c r="L60" i="15" s="1"/>
  <c r="M78" i="15" l="1"/>
  <c r="M37" i="15"/>
  <c r="M51" i="15" l="1"/>
  <c r="M18" i="15"/>
  <c r="M53" i="15" s="1"/>
  <c r="M109" i="15"/>
  <c r="M111" i="15" s="1"/>
  <c r="M119" i="15" s="1"/>
  <c r="M115" i="15"/>
  <c r="M116" i="15"/>
  <c r="L10" i="15"/>
  <c r="L97" i="15"/>
  <c r="L86" i="15"/>
  <c r="M117" i="15" l="1"/>
  <c r="M121" i="15" s="1"/>
  <c r="M113" i="15"/>
  <c r="L17" i="15"/>
  <c r="L15" i="15"/>
  <c r="M120" i="15" l="1"/>
  <c r="L105" i="15" l="1"/>
  <c r="K10" i="15" l="1"/>
  <c r="J10" i="15"/>
  <c r="J26" i="15" l="1"/>
  <c r="J24" i="15"/>
  <c r="J35" i="15"/>
  <c r="J25" i="15"/>
  <c r="K36" i="15" l="1"/>
  <c r="K22" i="15"/>
  <c r="K23" i="15"/>
  <c r="K24" i="15"/>
  <c r="K26" i="15"/>
  <c r="J21" i="15"/>
  <c r="K48" i="15"/>
  <c r="L51" i="15" l="1"/>
  <c r="E51" i="15"/>
  <c r="D51" i="15"/>
  <c r="C51" i="15"/>
  <c r="B51" i="15"/>
  <c r="L115" i="15"/>
  <c r="L109" i="15"/>
  <c r="L78" i="15"/>
  <c r="L37" i="15"/>
  <c r="L18" i="15"/>
  <c r="K97" i="15"/>
  <c r="K86" i="15"/>
  <c r="J97" i="15"/>
  <c r="J95" i="15"/>
  <c r="J12" i="15"/>
  <c r="J17" i="15"/>
  <c r="J15" i="15"/>
  <c r="L111" i="15" l="1"/>
  <c r="L119" i="15" s="1"/>
  <c r="L116" i="15"/>
  <c r="L117" i="15" s="1"/>
  <c r="L53" i="15"/>
  <c r="K17" i="15"/>
  <c r="K43" i="15"/>
  <c r="K15" i="15"/>
  <c r="K51" i="15" l="1"/>
  <c r="L113" i="15"/>
  <c r="L120" i="15"/>
  <c r="L121" i="15"/>
  <c r="K78" i="15" l="1"/>
  <c r="K37" i="15"/>
  <c r="K109" i="15" l="1"/>
  <c r="K111" i="15" s="1"/>
  <c r="K119" i="15" s="1"/>
  <c r="K18" i="15"/>
  <c r="K53" i="15" s="1"/>
  <c r="K115" i="15"/>
  <c r="K116" i="15"/>
  <c r="K117" i="15" l="1"/>
  <c r="K120" i="15" s="1"/>
  <c r="K113" i="15"/>
  <c r="K121" i="15" l="1"/>
  <c r="I22" i="15" l="1"/>
  <c r="I24" i="15"/>
  <c r="I25" i="15"/>
  <c r="I26" i="15"/>
  <c r="I35" i="15"/>
  <c r="G36" i="15"/>
  <c r="G37" i="15" s="1"/>
  <c r="H36" i="15"/>
  <c r="H37" i="15" s="1"/>
  <c r="B37" i="15"/>
  <c r="C37" i="15"/>
  <c r="D37" i="15"/>
  <c r="E37" i="15"/>
  <c r="F37" i="15"/>
  <c r="J37" i="15"/>
  <c r="I37" i="15" l="1"/>
  <c r="J47" i="15"/>
  <c r="J51" i="15" s="1"/>
  <c r="J115" i="15" l="1"/>
  <c r="J78" i="15"/>
  <c r="J116" i="15" s="1"/>
  <c r="J109" i="15"/>
  <c r="J18" i="15"/>
  <c r="J53" i="15" s="1"/>
  <c r="J117" i="15" l="1"/>
  <c r="J111" i="15"/>
  <c r="J119" i="15" s="1"/>
  <c r="J121" i="15" l="1"/>
  <c r="J120" i="15"/>
  <c r="J113" i="15"/>
  <c r="I76" i="15" l="1"/>
  <c r="I64" i="15"/>
  <c r="I66" i="15"/>
  <c r="I67" i="15"/>
  <c r="I63" i="15"/>
  <c r="I68" i="15"/>
  <c r="I78" i="15" l="1"/>
  <c r="I97" i="15"/>
  <c r="I15" i="15"/>
  <c r="E115" i="15" l="1"/>
  <c r="D115" i="15"/>
  <c r="C115" i="15"/>
  <c r="B115" i="15"/>
  <c r="E109" i="15"/>
  <c r="D109" i="15"/>
  <c r="C109" i="15"/>
  <c r="B109" i="15"/>
  <c r="H107" i="15"/>
  <c r="H97" i="15"/>
  <c r="G97" i="15"/>
  <c r="F97" i="15"/>
  <c r="F109" i="15" s="1"/>
  <c r="I86" i="15"/>
  <c r="I109" i="15" s="1"/>
  <c r="H86" i="15"/>
  <c r="G86" i="15"/>
  <c r="H78" i="15"/>
  <c r="G78" i="15"/>
  <c r="E78" i="15"/>
  <c r="D78" i="15"/>
  <c r="C78" i="15"/>
  <c r="B78" i="15"/>
  <c r="F77" i="15"/>
  <c r="F78" i="15" s="1"/>
  <c r="I48" i="15"/>
  <c r="I51" i="15" s="1"/>
  <c r="H48" i="15"/>
  <c r="H51" i="15" s="1"/>
  <c r="G48" i="15"/>
  <c r="G51" i="15" s="1"/>
  <c r="F48" i="15"/>
  <c r="F51" i="15" s="1"/>
  <c r="E18" i="15"/>
  <c r="E53" i="15" s="1"/>
  <c r="D18" i="15"/>
  <c r="D53" i="15" s="1"/>
  <c r="C18" i="15"/>
  <c r="C53" i="15" s="1"/>
  <c r="B18" i="15"/>
  <c r="B53" i="15" s="1"/>
  <c r="H15" i="15"/>
  <c r="H18" i="15" s="1"/>
  <c r="G15" i="15"/>
  <c r="F15" i="15"/>
  <c r="H53" i="15" l="1"/>
  <c r="F115" i="15"/>
  <c r="H116" i="15"/>
  <c r="D111" i="15"/>
  <c r="D113" i="15" s="1"/>
  <c r="G116" i="15"/>
  <c r="D116" i="15"/>
  <c r="D117" i="15" s="1"/>
  <c r="G109" i="15"/>
  <c r="G111" i="15" s="1"/>
  <c r="G119" i="15" s="1"/>
  <c r="E116" i="15"/>
  <c r="E117" i="15" s="1"/>
  <c r="G115" i="15"/>
  <c r="B116" i="15"/>
  <c r="B117" i="15" s="1"/>
  <c r="F116" i="15"/>
  <c r="E111" i="15"/>
  <c r="E119" i="15" s="1"/>
  <c r="B111" i="15"/>
  <c r="B119" i="15" s="1"/>
  <c r="F111" i="15"/>
  <c r="F119" i="15" s="1"/>
  <c r="H109" i="15"/>
  <c r="H111" i="15" s="1"/>
  <c r="H119" i="15" s="1"/>
  <c r="I115" i="15"/>
  <c r="C116" i="15"/>
  <c r="C117" i="15" s="1"/>
  <c r="C111" i="15"/>
  <c r="C119" i="15" s="1"/>
  <c r="I111" i="15"/>
  <c r="I119" i="15" s="1"/>
  <c r="I116" i="15"/>
  <c r="I18" i="15"/>
  <c r="I53" i="15" s="1"/>
  <c r="H115" i="15"/>
  <c r="F18" i="15"/>
  <c r="F53" i="15" s="1"/>
  <c r="G18" i="15"/>
  <c r="G53" i="15" s="1"/>
  <c r="G117" i="15" l="1"/>
  <c r="G120" i="15" s="1"/>
  <c r="F117" i="15"/>
  <c r="F121" i="15" s="1"/>
  <c r="D119" i="15"/>
  <c r="D120" i="15" s="1"/>
  <c r="H117" i="15"/>
  <c r="H120" i="15" s="1"/>
  <c r="E113" i="15"/>
  <c r="G113" i="15"/>
  <c r="C120" i="15"/>
  <c r="B113" i="15"/>
  <c r="H113" i="15"/>
  <c r="I117" i="15"/>
  <c r="I121" i="15" s="1"/>
  <c r="C113" i="15"/>
  <c r="C121" i="15"/>
  <c r="E121" i="15"/>
  <c r="B121" i="15"/>
  <c r="I113" i="15"/>
  <c r="E120" i="15"/>
  <c r="F113" i="15"/>
  <c r="B120" i="15"/>
  <c r="G121" i="15" l="1"/>
  <c r="F120" i="15"/>
  <c r="D121" i="15"/>
  <c r="H121" i="15"/>
  <c r="I120" i="15"/>
  <c r="H15" i="7" l="1"/>
  <c r="H12" i="7"/>
  <c r="H17" i="7" l="1"/>
  <c r="S109" i="15" l="1"/>
  <c r="S111" i="15" s="1"/>
  <c r="S119" i="15" s="1"/>
  <c r="T111" i="15"/>
  <c r="T119" i="15" s="1"/>
  <c r="T120" i="15" l="1"/>
  <c r="T121" i="15"/>
  <c r="S113" i="15"/>
  <c r="T113" i="15"/>
  <c r="S120" i="15"/>
  <c r="S121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Natalie Lason</author>
  </authors>
  <commentList>
    <comment ref="N35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Natalie Lason:</t>
        </r>
        <r>
          <rPr>
            <sz val="8"/>
            <color indexed="81"/>
            <rFont val="Tahoma"/>
            <charset val="1"/>
          </rPr>
          <t xml:space="preserve">
includes online auction for Cov-19 $10,170
</t>
        </r>
      </text>
    </comment>
    <comment ref="J6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Natalie Lason:</t>
        </r>
        <r>
          <rPr>
            <sz val="9"/>
            <color indexed="81"/>
            <rFont val="Tahoma"/>
            <family val="2"/>
          </rPr>
          <t xml:space="preserve">
gift in kind for 40Westt went to fundraising exp but the revenue was coded to capital campaign - this should have been coded to gift in kind (capital campaign below)
</t>
        </r>
      </text>
    </comment>
    <comment ref="J8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Natalie Lason:</t>
        </r>
        <r>
          <rPr>
            <sz val="9"/>
            <color indexed="81"/>
            <rFont val="Tahoma"/>
            <family val="2"/>
          </rPr>
          <t xml:space="preserve">
includes Benoit (one extra position)
</t>
        </r>
      </text>
    </comment>
    <comment ref="R83" authorId="0" shapeId="0" xr:uid="{3B05346C-FF1D-40C9-B1E1-BD92818AB3DA}">
      <text>
        <r>
          <rPr>
            <b/>
            <sz val="9"/>
            <color indexed="81"/>
            <rFont val="Tahoma"/>
            <charset val="1"/>
          </rPr>
          <t xml:space="preserve">Natalie Lason
</t>
        </r>
        <r>
          <rPr>
            <sz val="9"/>
            <color indexed="81"/>
            <rFont val="Tahoma"/>
            <charset val="1"/>
          </rPr>
          <t xml:space="preserve">payroll je are not entered yet ($529,851 on IS)
estimate added Q4 and payroll accrual of 17K
 and NK RRSP 12K (NK variable pay was included in Q3)
$732000
</t>
        </r>
      </text>
    </comment>
    <comment ref="R95" authorId="0" shapeId="0" xr:uid="{8C69468D-422A-4F36-A013-DF764018BC09}">
      <text>
        <r>
          <rPr>
            <b/>
            <sz val="9"/>
            <color indexed="81"/>
            <rFont val="Tahoma"/>
            <charset val="1"/>
          </rPr>
          <t>Natalie Lason:</t>
        </r>
        <r>
          <rPr>
            <sz val="9"/>
            <color indexed="81"/>
            <rFont val="Tahoma"/>
            <charset val="1"/>
          </rPr>
          <t xml:space="preserve">
check account coding
</t>
        </r>
      </text>
    </comment>
    <comment ref="J10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Natalie Lason:</t>
        </r>
        <r>
          <rPr>
            <sz val="9"/>
            <color indexed="81"/>
            <rFont val="Tahoma"/>
            <family val="2"/>
          </rPr>
          <t xml:space="preserve">
amount was coded to fundraising expense for 40 Westt
</t>
        </r>
      </text>
    </comment>
  </commentList>
</comments>
</file>

<file path=xl/sharedStrings.xml><?xml version="1.0" encoding="utf-8"?>
<sst xmlns="http://schemas.openxmlformats.org/spreadsheetml/2006/main" count="380" uniqueCount="336">
  <si>
    <t xml:space="preserve">Lakeshore General Hospital Foundation </t>
  </si>
  <si>
    <t>Actual</t>
  </si>
  <si>
    <t>2008-2009</t>
  </si>
  <si>
    <t>2009-2010</t>
  </si>
  <si>
    <t>2010-2011</t>
  </si>
  <si>
    <t>2011-2012</t>
  </si>
  <si>
    <t>2012-2013</t>
  </si>
  <si>
    <t>2013-2014</t>
  </si>
  <si>
    <t>2014-2015</t>
  </si>
  <si>
    <t>REVENUES Foundation</t>
  </si>
  <si>
    <t>Revenues Foundation</t>
  </si>
  <si>
    <t>Annual Campaign (10-4100)</t>
  </si>
  <si>
    <t>Donations to designated Funds (30-4100)</t>
  </si>
  <si>
    <t>Government/Municipalities (10-4800)</t>
  </si>
  <si>
    <t>Memorial/Bequests (10-4110) (10-4190)</t>
  </si>
  <si>
    <t>TOTAL CAMPAIGN REVENUES</t>
  </si>
  <si>
    <t>Fundraising activities (10-4300)</t>
  </si>
  <si>
    <t>Baton Rouge</t>
  </si>
  <si>
    <t>Gala Night</t>
  </si>
  <si>
    <t>Lakeshore Duck Race</t>
  </si>
  <si>
    <t>Accrued Revenue and or fund 1000</t>
  </si>
  <si>
    <t>TOTAL EVENT REVENUES</t>
  </si>
  <si>
    <t>Accrued revenue</t>
  </si>
  <si>
    <t>Tv commissions (10-4420)</t>
  </si>
  <si>
    <t>Gifts of Insurance (10-4200)</t>
  </si>
  <si>
    <t>Publicity (10-4430)</t>
  </si>
  <si>
    <t>Investment Income (10-4900), (10-4910), (10-4920)</t>
  </si>
  <si>
    <t>(10-4940), (20-4900), (20-4910), (20-4920) (30-4910)</t>
  </si>
  <si>
    <t>TOTAL REVENUES</t>
  </si>
  <si>
    <t>EXPENSES Foundation</t>
  </si>
  <si>
    <t>Annual Campaign</t>
  </si>
  <si>
    <t>TOTAL CAMPAIGN EXPENSES</t>
  </si>
  <si>
    <t>Fundraising expenses (10-5300)</t>
  </si>
  <si>
    <t>Other Third Party events</t>
  </si>
  <si>
    <t>TOTAL  EVENT EXPENSES</t>
  </si>
  <si>
    <t>Salaries (10-6010), (10-6011), (10-6015)</t>
  </si>
  <si>
    <t>Equipment contract and maintenance (10-8190)</t>
  </si>
  <si>
    <t>Legal Fees(10-8510)</t>
  </si>
  <si>
    <t>Consulting Fees (Auditors) (10-8520) (recruitining)(10-6028)</t>
  </si>
  <si>
    <t>Professional Fees (10-6020)</t>
  </si>
  <si>
    <t>Direct Mailing and Postage (10-5100)</t>
  </si>
  <si>
    <t>Donor Regcognition (10-5130)</t>
  </si>
  <si>
    <t>Dues and Memberships (10-7055)</t>
  </si>
  <si>
    <t>Office Expenses (10-8100)</t>
  </si>
  <si>
    <t>Telecommunications (10-8115)</t>
  </si>
  <si>
    <t>Internal Meetings (10-7052)</t>
  </si>
  <si>
    <t>Publicity (10-5120)</t>
  </si>
  <si>
    <t>Translation (10-6026)</t>
  </si>
  <si>
    <t>Bank (Payroll) and Credit Card Fees (10-8810), (10-5810)</t>
  </si>
  <si>
    <t>Investment and Management Fees (10-8850)</t>
  </si>
  <si>
    <t>Depreciation (10-8900)</t>
  </si>
  <si>
    <t>Software Implementation and Training (10-6022)</t>
  </si>
  <si>
    <t xml:space="preserve">Software and Software Maintenance and Support (10-8300) </t>
  </si>
  <si>
    <t>Travel and Parking (10-7060)</t>
  </si>
  <si>
    <t>Donations</t>
  </si>
  <si>
    <t xml:space="preserve">Bad Debt </t>
  </si>
  <si>
    <t>Miscellaneous (10-8200)</t>
  </si>
  <si>
    <t>TOTAL OPERATING EXPENSES</t>
  </si>
  <si>
    <t>TOTAL EXPENSES</t>
  </si>
  <si>
    <t>TOTAL FOUNDATION REVENUES OVER EXPENSES</t>
  </si>
  <si>
    <t>Total revenues excluding events</t>
  </si>
  <si>
    <t>Fundraising events, net of costs</t>
  </si>
  <si>
    <t>Total</t>
  </si>
  <si>
    <t>Expenses (excluding events expenses)</t>
  </si>
  <si>
    <t>Net income before grants</t>
  </si>
  <si>
    <t>2015-2016</t>
  </si>
  <si>
    <t>Software</t>
  </si>
  <si>
    <t>10-8300</t>
  </si>
  <si>
    <t>website domaine names</t>
  </si>
  <si>
    <t>website annual hosting</t>
  </si>
  <si>
    <t>laptops or computer upgrades</t>
  </si>
  <si>
    <t>10-7050</t>
  </si>
  <si>
    <t>Business Development</t>
  </si>
  <si>
    <t xml:space="preserve">West Island Chamber of Commerce </t>
  </si>
  <si>
    <t>Total Business Development</t>
  </si>
  <si>
    <t>10-8520</t>
  </si>
  <si>
    <t xml:space="preserve">Auditors </t>
  </si>
  <si>
    <t>10-6028</t>
  </si>
  <si>
    <t>Recruiting Fees</t>
  </si>
  <si>
    <t xml:space="preserve">Golf Tournament </t>
  </si>
  <si>
    <t>2016-2017</t>
  </si>
  <si>
    <t>Summary:</t>
  </si>
  <si>
    <t>40 Westt</t>
  </si>
  <si>
    <t>blackbaud (FE/RE)</t>
  </si>
  <si>
    <t>TOTAL GIFT IN KIND EXPENSE</t>
  </si>
  <si>
    <t>Gift in Kind Fundraising expense</t>
  </si>
  <si>
    <t xml:space="preserve">Actual </t>
  </si>
  <si>
    <t>2017-2018</t>
  </si>
  <si>
    <t xml:space="preserve">Adobe creative cloud </t>
  </si>
  <si>
    <t>rebranding within hospital</t>
  </si>
  <si>
    <t>( in capital campaign)</t>
  </si>
  <si>
    <t>2018-2019</t>
  </si>
  <si>
    <t>no computer upgrades</t>
  </si>
  <si>
    <t>gazette exchange contract</t>
  </si>
  <si>
    <t>other (10 yr avg)</t>
  </si>
  <si>
    <t>Gift in Kind 10-4240</t>
  </si>
  <si>
    <t>Gift in Kind Capital Campaign 20-4240</t>
  </si>
  <si>
    <t>Gift in Kind  Restricted 30-4240</t>
  </si>
  <si>
    <t>Business Development (10-7050) (20-7050)</t>
  </si>
  <si>
    <t>2019-2020</t>
  </si>
  <si>
    <t>TOTAL SUNDRY  REVENUES</t>
  </si>
  <si>
    <t>Government/Municipalities (20-4800)</t>
  </si>
  <si>
    <t>Dollars and Destinations</t>
  </si>
  <si>
    <t>Holiday Campaign</t>
  </si>
  <si>
    <t>Thank you Partners</t>
  </si>
  <si>
    <t xml:space="preserve">Note: </t>
  </si>
  <si>
    <t>see events or annual campaign</t>
  </si>
  <si>
    <t>Fairview Wrapping</t>
  </si>
  <si>
    <t>Total Consulting Fees:</t>
  </si>
  <si>
    <t>Consulting Fees - (Audit 10-8520 and Recruiting 10-6028):</t>
  </si>
  <si>
    <t>May</t>
  </si>
  <si>
    <t xml:space="preserve">July </t>
  </si>
  <si>
    <t>Publicity: (10-5120)</t>
  </si>
  <si>
    <t>(moved to April)</t>
  </si>
  <si>
    <t>(ly was final year)</t>
  </si>
  <si>
    <t>Gift of Shares (10-4210) (30-4210)</t>
  </si>
  <si>
    <t>2020-2021</t>
  </si>
  <si>
    <t>Carole</t>
  </si>
  <si>
    <t>business conference (Toronto - Cause Marketing)</t>
  </si>
  <si>
    <t>same as ly</t>
  </si>
  <si>
    <t>see tab</t>
  </si>
  <si>
    <t>Chocolate Sale</t>
  </si>
  <si>
    <t>2021-2022</t>
  </si>
  <si>
    <t xml:space="preserve">Scotia Bank </t>
  </si>
  <si>
    <t>total</t>
  </si>
  <si>
    <t>RBC</t>
  </si>
  <si>
    <t>Wood Gundy</t>
  </si>
  <si>
    <t>Social Media</t>
  </si>
  <si>
    <t>tap to donate</t>
  </si>
  <si>
    <t>Investment interest  estimates</t>
  </si>
  <si>
    <t>New Event TBD</t>
  </si>
  <si>
    <t>Cash Grab (to replace historical event of young professionals)</t>
  </si>
  <si>
    <t>Cash Grab (replaces young prof. historically)</t>
  </si>
  <si>
    <t xml:space="preserve"> </t>
  </si>
  <si>
    <t>Partnership</t>
  </si>
  <si>
    <t>Misc  Revenue (10-4490) - Government Assistance</t>
  </si>
  <si>
    <t>2022-2023</t>
  </si>
  <si>
    <t>rounded</t>
  </si>
  <si>
    <t>gst</t>
  </si>
  <si>
    <t>qst</t>
  </si>
  <si>
    <t>- half tax</t>
  </si>
  <si>
    <t>RE FE NXT</t>
  </si>
  <si>
    <t>Simply IT</t>
  </si>
  <si>
    <t>Cashflow?</t>
  </si>
  <si>
    <t>1st yr covid</t>
  </si>
  <si>
    <t>2nd yr covid</t>
  </si>
  <si>
    <t>covid March 2020</t>
  </si>
  <si>
    <t>40 Westt/Community Events</t>
  </si>
  <si>
    <t>Misc events  - (including on-line auction, food festival, fund 1000)</t>
  </si>
  <si>
    <t>website maintenance CATSYS</t>
  </si>
  <si>
    <t>website refresh</t>
  </si>
  <si>
    <t>($35x30 people) x3</t>
  </si>
  <si>
    <t>Meals</t>
  </si>
  <si>
    <t>Partner Cocktails</t>
  </si>
  <si>
    <t>10-7055</t>
  </si>
  <si>
    <t>Dues and Memberships</t>
  </si>
  <si>
    <t>chambre de commerce</t>
  </si>
  <si>
    <t>AHP</t>
  </si>
  <si>
    <t>AHP Webinars</t>
  </si>
  <si>
    <t xml:space="preserve">other </t>
  </si>
  <si>
    <t>Dragon boat</t>
  </si>
  <si>
    <t>Walk</t>
  </si>
  <si>
    <t>Dragon Boat</t>
  </si>
  <si>
    <t>walk</t>
  </si>
  <si>
    <t xml:space="preserve">photos and videos </t>
  </si>
  <si>
    <t>Gift in Kind Restricted - incl. gift of Insurance Dana Massaro</t>
  </si>
  <si>
    <t>(incl. in  10-30-4100)</t>
  </si>
  <si>
    <t>Desjardins TS5</t>
  </si>
  <si>
    <t>Budget</t>
  </si>
  <si>
    <t>Third party</t>
  </si>
  <si>
    <t>Q3</t>
  </si>
  <si>
    <t>Prior years and General Events expenses</t>
  </si>
  <si>
    <t>2023-2024</t>
  </si>
  <si>
    <t>#</t>
  </si>
  <si>
    <t>Parking lot + Kirkland signage</t>
  </si>
  <si>
    <t>• Changing 8 large signs
• 1 cafeteria, 2 Kirkland, 5 parking lot
• Arrive unmounted. Services techniques mounts them and installs. Kirkland installs their own</t>
  </si>
  <si>
    <t>Updated Fdn logo decal for door</t>
  </si>
  <si>
    <t>Donor wall updates</t>
  </si>
  <si>
    <t>Donor wall - new fdn logo</t>
  </si>
  <si>
    <t>Replace old Foundation logo that's currently on the wall</t>
  </si>
  <si>
    <t>Planned giving pamphlet</t>
  </si>
  <si>
    <t>Marketing Materials (Communications)  (10-5125)</t>
  </si>
  <si>
    <t>Marketing (Communications) 10-5125</t>
  </si>
  <si>
    <t>included in 10-5125</t>
  </si>
  <si>
    <t>Publicity for events :</t>
  </si>
  <si>
    <t>Publicity for annual campaign:</t>
  </si>
  <si>
    <t>Donor recogniton 10-5130</t>
  </si>
  <si>
    <t>• Update 6 inserts annually (Major donors, large donors (2), guardian angels, board, partners)
• Update 1 more with new completed projects $365+tax each approx $3000</t>
  </si>
  <si>
    <t>Mailings</t>
  </si>
  <si>
    <t>Patient Mailing 10-5105:</t>
  </si>
  <si>
    <t>Annual Campaign Mailings 10-5115</t>
  </si>
  <si>
    <t>mailing cost</t>
  </si>
  <si>
    <t>campaign costs</t>
  </si>
  <si>
    <t>Total AC</t>
  </si>
  <si>
    <t>costs do not include graphic work</t>
  </si>
  <si>
    <t>Note: mailing costs include translation, printing, postage and mailhouse</t>
  </si>
  <si>
    <t>graphic art, printing, etc</t>
  </si>
  <si>
    <t>michelle - did not renew</t>
  </si>
  <si>
    <t>michelle- did not use last year, did not renew</t>
  </si>
  <si>
    <t>carole, changed membership, price decreased</t>
  </si>
  <si>
    <t>Direct Mail and postage 10-5100:</t>
  </si>
  <si>
    <t>Postage meter rental $200 quarterly (Quadient)</t>
  </si>
  <si>
    <t>business reply transactions</t>
  </si>
  <si>
    <t>annual business reply fee 1/yr</t>
  </si>
  <si>
    <t>first  year discount with Techsoup, now back to regular rate</t>
  </si>
  <si>
    <t>Telecommunicaitons 10-8115</t>
  </si>
  <si>
    <t>Nathalie Kamel</t>
  </si>
  <si>
    <t>Carole Ravenda</t>
  </si>
  <si>
    <t>Natalie Lason</t>
  </si>
  <si>
    <t>Alison Harris</t>
  </si>
  <si>
    <t>Michelle Campbell</t>
  </si>
  <si>
    <t>per month</t>
  </si>
  <si>
    <t>per yr</t>
  </si>
  <si>
    <t>wifi foundation</t>
  </si>
  <si>
    <t>Alison old phone and old plan but is not planning to change for now.</t>
  </si>
  <si>
    <t>so that foundation could access internet sites blocked on hospital network and wifi</t>
  </si>
  <si>
    <t>Capital campaign (20-4100)</t>
  </si>
  <si>
    <t>Quote 1</t>
  </si>
  <si>
    <t>Ex-patient mailing merged with 10-5100 as of 2013 ye in FE</t>
  </si>
  <si>
    <t>Compliance 10-8530</t>
  </si>
  <si>
    <t>plaques recognizing donors and misc</t>
  </si>
  <si>
    <t>Desjardins TS1</t>
  </si>
  <si>
    <t>Desjardins TS2</t>
  </si>
  <si>
    <t>potentially use TS1 for invoice payment</t>
  </si>
  <si>
    <t>conservative estimate</t>
  </si>
  <si>
    <t>Maturity Date</t>
  </si>
  <si>
    <t>Rate</t>
  </si>
  <si>
    <t>Invested</t>
  </si>
  <si>
    <t>Issue Date</t>
  </si>
  <si>
    <t>Gift in Kind  - unrestricted</t>
  </si>
  <si>
    <t>Wifi donations (10-4425)</t>
  </si>
  <si>
    <t>2024-2025</t>
  </si>
  <si>
    <t>_Preliminary Q4</t>
  </si>
  <si>
    <t>Does not include cost of graphic work</t>
  </si>
  <si>
    <t>Elevator doors</t>
  </si>
  <si>
    <t>• 6 floors x 3 doors (main elevator bank)
• Additional $700+ tx for additional 2 elevators</t>
  </si>
  <si>
    <t>Decals on fdn pillars</t>
  </si>
  <si>
    <t>Outdoor rotuna banners</t>
  </si>
  <si>
    <t>Social media posting tool</t>
  </si>
  <si>
    <t>• Continue contract with existing company
• Sprout Social
• Allows for reports, best days/times to post on each platform
• Easy to use (used to it now)</t>
  </si>
  <si>
    <t>TOTAL</t>
  </si>
  <si>
    <t>Last year:</t>
  </si>
  <si>
    <t>• Adding decals to the blue pillars by the Foundation office door (Maybe $1000.00) TBD</t>
  </si>
  <si>
    <t>• Update 6-7 inserts annually (Major donors, large donors (2), guardian angels, board, partners)
• Update 1 more with new completed projects $365+tax each (appox. $3000)</t>
  </si>
  <si>
    <t>for 250 units</t>
  </si>
  <si>
    <t>Capital Campaign</t>
  </si>
  <si>
    <t>Capital Campaign outstanding pledges as at February 20, 2024</t>
  </si>
  <si>
    <t>Date</t>
  </si>
  <si>
    <t>Type</t>
  </si>
  <si>
    <t>Fund</t>
  </si>
  <si>
    <t>Pledge</t>
  </si>
  <si>
    <t>Payments</t>
  </si>
  <si>
    <t>Dates payment made|Payment</t>
  </si>
  <si>
    <t>Outstanding payments</t>
  </si>
  <si>
    <t>Pledge Balance</t>
  </si>
  <si>
    <t>Beaconsfield Oldtimers Hockey Assn.</t>
  </si>
  <si>
    <t>PL A5</t>
  </si>
  <si>
    <t>2000</t>
  </si>
  <si>
    <t>02-03-2018 $1000</t>
  </si>
  <si>
    <t>02-03-2018</t>
  </si>
  <si>
    <t>04-10-2019 $1500</t>
  </si>
  <si>
    <t>Cedar Park Heights Men's Softball League</t>
  </si>
  <si>
    <t>31-12-2017 $5000</t>
  </si>
  <si>
    <t>31-12-2018 $5000</t>
  </si>
  <si>
    <t>03-11-2019 $4000</t>
  </si>
  <si>
    <t>Note: $6800 was entered in 1098 but was applied against the pledge</t>
  </si>
  <si>
    <t>even though it was not coded to capital campaign</t>
  </si>
  <si>
    <t>PL A10</t>
  </si>
  <si>
    <t>2403</t>
  </si>
  <si>
    <t>09-12-2018 $10,000</t>
  </si>
  <si>
    <t>09-12-2019 $10,000</t>
  </si>
  <si>
    <t>09-12-2020 $10,000</t>
  </si>
  <si>
    <t>09-12-2021 $10,000</t>
  </si>
  <si>
    <t>19-09-2022 $10,000</t>
  </si>
  <si>
    <t>02-10-2023 $10,000</t>
  </si>
  <si>
    <t xml:space="preserve">09-12-2024 </t>
  </si>
  <si>
    <t xml:space="preserve">09-12-2025 </t>
  </si>
  <si>
    <t xml:space="preserve">09-12-2026 </t>
  </si>
  <si>
    <t xml:space="preserve">09-12-2027 </t>
  </si>
  <si>
    <t>Ville de/City of Beaconsfield</t>
  </si>
  <si>
    <t>PL A3</t>
  </si>
  <si>
    <t>09-10-2020</t>
  </si>
  <si>
    <t>Totals:</t>
  </si>
  <si>
    <t>The Birks Family Foundation</t>
  </si>
  <si>
    <t>Total Pledge list remaining</t>
  </si>
  <si>
    <t>3 postage refills</t>
  </si>
  <si>
    <t>mail xmas cards</t>
  </si>
  <si>
    <t>ink or accessories</t>
  </si>
  <si>
    <t>Spring</t>
  </si>
  <si>
    <t>Fall</t>
  </si>
  <si>
    <t>Holiday</t>
  </si>
  <si>
    <t>based on ly plus small increase</t>
  </si>
  <si>
    <t>Ex-patient (10-4100) and (30-4100)</t>
  </si>
  <si>
    <t>New comm phone</t>
  </si>
  <si>
    <t>new phone and new plan</t>
  </si>
  <si>
    <t xml:space="preserve">Carole got new phone, but got amazing loyalty price and reduced ty for multiple phones </t>
  </si>
  <si>
    <t>3 yr avg</t>
  </si>
  <si>
    <t>3 yr avg +5%</t>
  </si>
  <si>
    <t>excluded covid yr</t>
  </si>
  <si>
    <t>35000 Pointe Claire,7500 kirkland</t>
  </si>
  <si>
    <t>8750$*4</t>
  </si>
  <si>
    <t>Birks 10K</t>
  </si>
  <si>
    <t>Budget 2024-2025,  Year ended March 31, 2025</t>
  </si>
  <si>
    <t>18.9% increase over last year</t>
  </si>
  <si>
    <t>Holiday Campaign (excluding Fairview wrapping)</t>
  </si>
  <si>
    <t>TS5</t>
  </si>
  <si>
    <t>TS4</t>
  </si>
  <si>
    <t>TS1 variable</t>
  </si>
  <si>
    <t>Budget lower for decrease in rates upon renewal and potential use of funds for projects</t>
  </si>
  <si>
    <t>n/a</t>
  </si>
  <si>
    <t>Kathy Sloane</t>
  </si>
  <si>
    <t>Patrick Trent re Comms hire</t>
  </si>
  <si>
    <t>docusign</t>
  </si>
  <si>
    <t>sprout</t>
  </si>
  <si>
    <t>Quickbooks</t>
  </si>
  <si>
    <t>$48 plus tax/month after first yr</t>
  </si>
  <si>
    <t>zoom</t>
  </si>
  <si>
    <t xml:space="preserve">$23 plus tax/month </t>
  </si>
  <si>
    <t>canva</t>
  </si>
  <si>
    <t>canva replaced picmonkey - free as per MC</t>
  </si>
  <si>
    <t>suska  - cancelled by MC - go daddy</t>
  </si>
  <si>
    <t xml:space="preserve">suska  - cancelled by MC </t>
  </si>
  <si>
    <t>april</t>
  </si>
  <si>
    <t>2000 spent on recruiting YE2024</t>
  </si>
  <si>
    <t>recruiting for comms in YE2025</t>
  </si>
  <si>
    <t>based on photocopies, increase volume and rate increases, may want to increase abit</t>
  </si>
  <si>
    <t>incl uhaul $330*12=3960 and new xmas tree $2900</t>
  </si>
  <si>
    <t>Palliative Care</t>
  </si>
  <si>
    <t>Foundation Search</t>
  </si>
  <si>
    <t>• Includes installation
• Changing 3 banners  $5700</t>
  </si>
  <si>
    <t>Replace old Foundation logo that's currently on the wall $6800</t>
  </si>
  <si>
    <t>variable and unpredictable</t>
  </si>
  <si>
    <t>reviewed with Exec co</t>
  </si>
  <si>
    <t xml:space="preserve">adding 1.25 employee (overlap Olga) </t>
  </si>
  <si>
    <t xml:space="preserve">painting donated by Mr. Ferguson </t>
  </si>
  <si>
    <t>chamber of 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</si>
</sst>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)\ &quot;$&quot;_ ;_ * \(#,##0.00\)\ &quot;$&quot;_ ;_ * &quot;-&quot;??_)\ &quot;$&quot;_ ;_ @_ "/>
    <numFmt numFmtId="165" formatCode="_-* #,##0_-;\-* #,##0_-;_-* &quot;-&quot;??_-;_-@_-"/>
    <numFmt numFmtId="166" formatCode="0.0%"/>
    <numFmt numFmtId="167" formatCode="0.0000%"/>
    <numFmt numFmtId="168" formatCode="&quot;$&quot;#,##0"/>
    <numFmt numFmtId="169" formatCode="_(* #,##0_);_(* \(#,##0\);_(* &quot;-&quot;??_);_(@_)"/>
    <numFmt numFmtId="170" formatCode="_-&quot;$&quot;* #,##0_-;\-&quot;$&quot;* #,##0_-;_-&quot;$&quot;* &quot;-&quot;??_-;_-@_-"/>
    <numFmt numFmtId="171" formatCode="dd\/mm\/yyyy"/>
    <numFmt numFmtId="172" formatCode="&quot;$&quot;#,##0.00_);\(&quot;$&quot;#,##0.00\)"/>
  </numFmts>
  <fonts count="5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rgb="FF0000FF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color rgb="FF0000FF"/>
      <name val="MS Sans Serif"/>
      <family val="2"/>
    </font>
    <font>
      <b/>
      <sz val="13.9"/>
      <color indexed="8"/>
      <name val="Arial"/>
      <family val="2"/>
    </font>
    <font>
      <sz val="10"/>
      <color theme="1"/>
      <name val="Gill Sans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2"/>
      <name val="MS Sans Serif"/>
      <family val="2"/>
    </font>
    <font>
      <b/>
      <sz val="12"/>
      <color indexed="8"/>
      <name val="MS Sans Serif"/>
      <family val="2"/>
    </font>
    <font>
      <b/>
      <sz val="10"/>
      <color rgb="FF00B050"/>
      <name val="MS Sans Serif"/>
      <family val="2"/>
    </font>
    <font>
      <sz val="10"/>
      <color rgb="FFFF000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5"/>
      <color rgb="FF7030A0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MS Sans Serif"/>
    </font>
    <font>
      <sz val="10"/>
      <name val="Arial"/>
    </font>
    <font>
      <u/>
      <sz val="10"/>
      <color theme="10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.5"/>
      <color indexed="8"/>
      <name val="MS Sans Serif"/>
      <family val="2"/>
    </font>
    <font>
      <sz val="10"/>
      <color rgb="FF00B050"/>
      <name val="MS Sans Serif"/>
      <family val="2"/>
    </font>
    <font>
      <b/>
      <sz val="8.5"/>
      <color indexed="8"/>
      <name val="MS Sans Serif"/>
    </font>
    <font>
      <b/>
      <sz val="10"/>
      <name val="MS Sans Serif"/>
    </font>
    <font>
      <b/>
      <sz val="10"/>
      <color rgb="FF0000FF"/>
      <name val="MS Sans Serif"/>
    </font>
    <font>
      <b/>
      <sz val="10"/>
      <color rgb="FFFF0000"/>
      <name val="MS Sans Serif"/>
    </font>
    <font>
      <sz val="8"/>
      <color rgb="FF0000FF"/>
      <name val="MS Sans Serif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FF"/>
      <name val="MS Sans Serif"/>
    </font>
    <font>
      <sz val="8.5"/>
      <color rgb="FF7030A0"/>
      <name val="MS Sans 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FF"/>
      <name val="MS Sans Serif"/>
      <family val="2"/>
    </font>
    <font>
      <sz val="10"/>
      <color rgb="FFFF00FF"/>
      <name val="MS Sans Serif"/>
    </font>
    <font>
      <b/>
      <sz val="9.9499999999999993"/>
      <color indexed="8"/>
      <name val="Arial"/>
    </font>
    <font>
      <b/>
      <u/>
      <sz val="9.9499999999999993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</font>
    <font>
      <sz val="10"/>
      <color theme="1"/>
      <name val="Times New Roman"/>
      <family val="1"/>
    </font>
    <font>
      <sz val="9.85"/>
      <color indexed="8"/>
      <name val="Times New Roman"/>
      <family val="1"/>
    </font>
    <font>
      <sz val="10"/>
      <color rgb="FFFF00FF"/>
      <name val="Times New Roman"/>
      <family val="1"/>
    </font>
    <font>
      <sz val="10"/>
      <color rgb="FFFF33CC"/>
      <name val="MS Sans Serif"/>
    </font>
    <font>
      <sz val="10"/>
      <color rgb="FFFF33CC"/>
      <name val="MS Sans Serif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</fills>
  <borders count="91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 style="thin">
        <color theme="9" tint="-0.249977111117893"/>
      </bottom>
      <diagonal/>
    </border>
    <border>
      <left/>
      <right/>
      <top style="medium">
        <color theme="9" tint="-0.249977111117893"/>
      </top>
      <bottom style="thin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 style="thin">
        <color indexed="64"/>
      </left>
      <right/>
      <top style="medium">
        <color rgb="FF00B05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/>
      <bottom style="thin">
        <color rgb="FFFFFF00"/>
      </bottom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thin">
        <color indexed="64"/>
      </left>
      <right/>
      <top style="medium">
        <color rgb="FF0070C0"/>
      </top>
      <bottom/>
      <diagonal/>
    </border>
    <border>
      <left style="thin">
        <color indexed="64"/>
      </left>
      <right/>
      <top/>
      <bottom style="thin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9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B050"/>
      </top>
      <bottom/>
      <diagonal/>
    </border>
    <border>
      <left/>
      <right/>
      <top style="medium">
        <color rgb="FFFFFF00"/>
      </top>
      <bottom/>
      <diagonal/>
    </border>
    <border>
      <left/>
      <right/>
      <top/>
      <bottom style="thin">
        <color rgb="FFFFFF0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B050"/>
      </left>
      <right style="thin">
        <color indexed="64"/>
      </right>
      <top style="medium">
        <color rgb="FF00B050"/>
      </top>
      <bottom/>
      <diagonal/>
    </border>
    <border>
      <left style="medium">
        <color rgb="FF00B05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FF00"/>
      </left>
      <right style="thin">
        <color indexed="64"/>
      </right>
      <top style="medium">
        <color rgb="FFFFFF00"/>
      </top>
      <bottom/>
      <diagonal/>
    </border>
    <border>
      <left style="medium">
        <color rgb="FFFFFF00"/>
      </left>
      <right style="thin">
        <color indexed="64"/>
      </right>
      <top/>
      <bottom/>
      <diagonal/>
    </border>
    <border>
      <left style="medium">
        <color theme="9" tint="-0.249977111117893"/>
      </left>
      <right style="thin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/>
      <diagonal/>
    </border>
    <border>
      <left style="medium">
        <color rgb="FF0070C0"/>
      </left>
      <right style="thin">
        <color indexed="64"/>
      </right>
      <top/>
      <bottom/>
      <diagonal/>
    </border>
    <border>
      <left style="medium">
        <color rgb="FF0070C0"/>
      </left>
      <right style="thin">
        <color indexed="64"/>
      </right>
      <top/>
      <bottom style="thin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B050"/>
      </top>
      <bottom/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B050"/>
      </right>
      <top/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/>
      <right style="medium">
        <color rgb="FFFFFF00"/>
      </right>
      <top/>
      <bottom/>
      <diagonal/>
    </border>
    <border>
      <left/>
      <right style="medium">
        <color rgb="FFFFFF00"/>
      </right>
      <top/>
      <bottom style="thin">
        <color rgb="FFFFFF00"/>
      </bottom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0070C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rgb="FF00B050"/>
      </top>
      <bottom/>
      <diagonal/>
    </border>
    <border>
      <left style="thin">
        <color indexed="64"/>
      </left>
      <right style="thin">
        <color indexed="64"/>
      </right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 style="thin">
        <color indexed="64"/>
      </left>
      <right/>
      <top style="thin">
        <color rgb="FF00B050"/>
      </top>
      <bottom/>
      <diagonal/>
    </border>
    <border>
      <left style="thin">
        <color indexed="64"/>
      </left>
      <right style="thin">
        <color indexed="64"/>
      </right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 style="thin">
        <color indexed="64"/>
      </left>
      <right/>
      <top style="thin">
        <color rgb="FFFFFF00"/>
      </top>
      <bottom/>
      <diagonal/>
    </border>
    <border>
      <left style="medium">
        <color theme="9" tint="-0.249977111117893"/>
      </left>
      <right style="thin">
        <color indexed="64"/>
      </right>
      <top style="medium">
        <color theme="9" tint="-0.249977111117893"/>
      </top>
      <bottom/>
      <diagonal/>
    </border>
    <border>
      <left style="thin">
        <color indexed="64"/>
      </left>
      <right style="thin">
        <color indexed="64"/>
      </right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 style="thin">
        <color indexed="64"/>
      </left>
      <right/>
      <top style="medium">
        <color theme="9" tint="-0.249977111117893"/>
      </top>
      <bottom/>
      <diagonal/>
    </border>
    <border>
      <left/>
      <right style="medium">
        <color theme="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indexed="64"/>
      </right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medium">
        <color theme="4" tint="0.59999389629810485"/>
      </bottom>
      <diagonal/>
    </border>
    <border>
      <left/>
      <right style="medium">
        <color theme="4" tint="0.59999389629810485"/>
      </right>
      <top style="medium">
        <color theme="4" tint="0.59999389629810485"/>
      </top>
      <bottom style="thin">
        <color theme="4" tint="0.59999389629810485"/>
      </bottom>
      <diagonal/>
    </border>
    <border>
      <left/>
      <right style="medium">
        <color theme="4" tint="0.59999389629810485"/>
      </right>
      <top style="medium">
        <color theme="4" tint="0.59999389629810485"/>
      </top>
      <bottom/>
      <diagonal/>
    </border>
    <border>
      <left/>
      <right style="thin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7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9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56">
    <xf numFmtId="0" fontId="0" fillId="0" borderId="0" xfId="0"/>
    <xf numFmtId="0" fontId="8" fillId="0" borderId="0" xfId="0" applyNumberFormat="1" applyFont="1" applyFill="1" applyBorder="1" applyAlignment="1" applyProtection="1"/>
    <xf numFmtId="165" fontId="8" fillId="0" borderId="0" xfId="1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11" fillId="2" borderId="1" xfId="0" applyNumberFormat="1" applyFont="1" applyFill="1" applyBorder="1" applyAlignment="1" applyProtection="1"/>
    <xf numFmtId="165" fontId="11" fillId="2" borderId="2" xfId="1" applyNumberFormat="1" applyFont="1" applyFill="1" applyBorder="1" applyAlignment="1" applyProtection="1">
      <alignment horizontal="center"/>
    </xf>
    <xf numFmtId="165" fontId="11" fillId="2" borderId="3" xfId="1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165" fontId="11" fillId="0" borderId="0" xfId="1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165" fontId="10" fillId="0" borderId="0" xfId="1" applyNumberFormat="1" applyFont="1" applyFill="1" applyBorder="1" applyAlignment="1" applyProtection="1"/>
    <xf numFmtId="165" fontId="10" fillId="0" borderId="4" xfId="1" applyNumberFormat="1" applyFont="1" applyFill="1" applyBorder="1" applyAlignment="1" applyProtection="1"/>
    <xf numFmtId="165" fontId="10" fillId="0" borderId="5" xfId="1" applyNumberFormat="1" applyFont="1" applyFill="1" applyBorder="1" applyAlignment="1" applyProtection="1"/>
    <xf numFmtId="165" fontId="10" fillId="0" borderId="6" xfId="1" applyNumberFormat="1" applyFont="1" applyFill="1" applyBorder="1" applyAlignment="1" applyProtection="1"/>
    <xf numFmtId="165" fontId="10" fillId="0" borderId="7" xfId="1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2" fillId="5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165" fontId="10" fillId="0" borderId="8" xfId="1" applyNumberFormat="1" applyFont="1" applyFill="1" applyBorder="1" applyAlignment="1" applyProtection="1"/>
    <xf numFmtId="165" fontId="10" fillId="0" borderId="9" xfId="1" applyNumberFormat="1" applyFont="1" applyFill="1" applyBorder="1" applyAlignment="1" applyProtection="1"/>
    <xf numFmtId="165" fontId="10" fillId="6" borderId="5" xfId="1" applyNumberFormat="1" applyFont="1" applyFill="1" applyBorder="1" applyAlignment="1" applyProtection="1"/>
    <xf numFmtId="165" fontId="10" fillId="0" borderId="10" xfId="1" applyNumberFormat="1" applyFont="1" applyFill="1" applyBorder="1" applyAlignment="1" applyProtection="1"/>
    <xf numFmtId="0" fontId="12" fillId="7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166" fontId="0" fillId="0" borderId="0" xfId="2" applyNumberFormat="1" applyFont="1" applyFill="1" applyBorder="1" applyAlignment="1" applyProtection="1"/>
    <xf numFmtId="43" fontId="10" fillId="0" borderId="0" xfId="1" applyNumberFormat="1" applyFont="1" applyFill="1" applyBorder="1" applyAlignment="1" applyProtection="1"/>
    <xf numFmtId="0" fontId="9" fillId="0" borderId="0" xfId="0" applyFont="1"/>
    <xf numFmtId="43" fontId="0" fillId="0" borderId="0" xfId="1" applyFont="1"/>
    <xf numFmtId="43" fontId="0" fillId="0" borderId="0" xfId="0" applyNumberFormat="1" applyFill="1" applyBorder="1" applyAlignment="1" applyProtection="1"/>
    <xf numFmtId="167" fontId="12" fillId="0" borderId="0" xfId="1" applyNumberFormat="1" applyFont="1" applyFill="1" applyBorder="1" applyAlignment="1" applyProtection="1"/>
    <xf numFmtId="0" fontId="11" fillId="2" borderId="14" xfId="0" applyNumberFormat="1" applyFont="1" applyFill="1" applyBorder="1" applyAlignment="1" applyProtection="1"/>
    <xf numFmtId="165" fontId="11" fillId="2" borderId="0" xfId="1" applyNumberFormat="1" applyFont="1" applyFill="1" applyBorder="1" applyAlignment="1" applyProtection="1">
      <alignment horizontal="center"/>
    </xf>
    <xf numFmtId="165" fontId="12" fillId="0" borderId="5" xfId="1" applyNumberFormat="1" applyFont="1" applyFill="1" applyBorder="1" applyAlignment="1" applyProtection="1"/>
    <xf numFmtId="165" fontId="10" fillId="0" borderId="15" xfId="1" applyNumberFormat="1" applyFont="1" applyFill="1" applyBorder="1" applyAlignment="1" applyProtection="1"/>
    <xf numFmtId="165" fontId="10" fillId="0" borderId="16" xfId="1" applyNumberFormat="1" applyFont="1" applyFill="1" applyBorder="1" applyAlignment="1" applyProtection="1"/>
    <xf numFmtId="165" fontId="10" fillId="0" borderId="17" xfId="1" applyNumberFormat="1" applyFont="1" applyFill="1" applyBorder="1" applyAlignment="1" applyProtection="1"/>
    <xf numFmtId="165" fontId="10" fillId="0" borderId="18" xfId="1" applyNumberFormat="1" applyFont="1" applyFill="1" applyBorder="1" applyAlignment="1" applyProtection="1"/>
    <xf numFmtId="165" fontId="12" fillId="0" borderId="0" xfId="1" applyNumberFormat="1" applyFont="1" applyFill="1" applyBorder="1" applyAlignment="1" applyProtection="1"/>
    <xf numFmtId="165" fontId="10" fillId="0" borderId="19" xfId="1" applyNumberFormat="1" applyFont="1" applyFill="1" applyBorder="1" applyAlignment="1" applyProtection="1"/>
    <xf numFmtId="165" fontId="10" fillId="0" borderId="20" xfId="1" applyNumberFormat="1" applyFont="1" applyFill="1" applyBorder="1" applyAlignment="1" applyProtection="1"/>
    <xf numFmtId="165" fontId="10" fillId="8" borderId="21" xfId="1" applyNumberFormat="1" applyFont="1" applyFill="1" applyBorder="1" applyAlignment="1" applyProtection="1"/>
    <xf numFmtId="0" fontId="9" fillId="0" borderId="22" xfId="0" applyNumberFormat="1" applyFont="1" applyFill="1" applyBorder="1" applyAlignment="1" applyProtection="1"/>
    <xf numFmtId="0" fontId="12" fillId="0" borderId="23" xfId="0" applyNumberFormat="1" applyFont="1" applyFill="1" applyBorder="1" applyAlignment="1" applyProtection="1"/>
    <xf numFmtId="0" fontId="9" fillId="0" borderId="25" xfId="0" applyNumberFormat="1" applyFont="1" applyFill="1" applyBorder="1" applyAlignment="1" applyProtection="1"/>
    <xf numFmtId="0" fontId="9" fillId="0" borderId="26" xfId="0" applyNumberFormat="1" applyFont="1" applyFill="1" applyBorder="1" applyAlignment="1" applyProtection="1"/>
    <xf numFmtId="0" fontId="8" fillId="2" borderId="27" xfId="0" applyNumberFormat="1" applyFont="1" applyFill="1" applyBorder="1" applyAlignment="1" applyProtection="1"/>
    <xf numFmtId="0" fontId="8" fillId="0" borderId="24" xfId="0" applyNumberFormat="1" applyFont="1" applyFill="1" applyBorder="1" applyAlignment="1" applyProtection="1"/>
    <xf numFmtId="0" fontId="12" fillId="0" borderId="26" xfId="0" applyNumberFormat="1" applyFont="1" applyFill="1" applyBorder="1" applyAlignment="1" applyProtection="1"/>
    <xf numFmtId="0" fontId="9" fillId="0" borderId="28" xfId="0" applyNumberFormat="1" applyFont="1" applyFill="1" applyBorder="1" applyAlignment="1" applyProtection="1"/>
    <xf numFmtId="0" fontId="9" fillId="0" borderId="29" xfId="0" applyNumberFormat="1" applyFont="1" applyFill="1" applyBorder="1" applyAlignment="1" applyProtection="1"/>
    <xf numFmtId="0" fontId="9" fillId="0" borderId="30" xfId="0" applyNumberFormat="1" applyFont="1" applyFill="1" applyBorder="1" applyAlignment="1" applyProtection="1"/>
    <xf numFmtId="0" fontId="9" fillId="8" borderId="31" xfId="0" applyNumberFormat="1" applyFont="1" applyFill="1" applyBorder="1" applyAlignment="1" applyProtection="1"/>
    <xf numFmtId="0" fontId="9" fillId="8" borderId="32" xfId="0" applyNumberFormat="1" applyFont="1" applyFill="1" applyBorder="1" applyAlignment="1" applyProtection="1"/>
    <xf numFmtId="0" fontId="9" fillId="8" borderId="33" xfId="0" applyNumberFormat="1" applyFont="1" applyFill="1" applyBorder="1" applyAlignment="1" applyProtection="1"/>
    <xf numFmtId="165" fontId="10" fillId="0" borderId="34" xfId="1" applyNumberFormat="1" applyFont="1" applyFill="1" applyBorder="1" applyAlignment="1" applyProtection="1"/>
    <xf numFmtId="165" fontId="10" fillId="0" borderId="35" xfId="1" applyNumberFormat="1" applyFont="1" applyFill="1" applyBorder="1" applyAlignment="1" applyProtection="1"/>
    <xf numFmtId="165" fontId="10" fillId="0" borderId="36" xfId="1" applyNumberFormat="1" applyFont="1" applyFill="1" applyBorder="1" applyAlignment="1" applyProtection="1"/>
    <xf numFmtId="165" fontId="11" fillId="2" borderId="37" xfId="1" applyNumberFormat="1" applyFont="1" applyFill="1" applyBorder="1" applyAlignment="1" applyProtection="1"/>
    <xf numFmtId="165" fontId="12" fillId="0" borderId="15" xfId="1" applyNumberFormat="1" applyFont="1" applyFill="1" applyBorder="1" applyAlignment="1" applyProtection="1"/>
    <xf numFmtId="165" fontId="10" fillId="0" borderId="38" xfId="1" applyNumberFormat="1" applyFont="1" applyFill="1" applyBorder="1" applyAlignment="1" applyProtection="1"/>
    <xf numFmtId="165" fontId="10" fillId="0" borderId="39" xfId="1" applyNumberFormat="1" applyFont="1" applyFill="1" applyBorder="1" applyAlignment="1" applyProtection="1"/>
    <xf numFmtId="165" fontId="12" fillId="8" borderId="40" xfId="1" applyNumberFormat="1" applyFont="1" applyFill="1" applyBorder="1" applyAlignment="1" applyProtection="1"/>
    <xf numFmtId="165" fontId="10" fillId="8" borderId="15" xfId="1" applyNumberFormat="1" applyFont="1" applyFill="1" applyBorder="1" applyAlignment="1" applyProtection="1"/>
    <xf numFmtId="166" fontId="13" fillId="8" borderId="15" xfId="2" applyNumberFormat="1" applyFont="1" applyFill="1" applyBorder="1" applyAlignment="1" applyProtection="1"/>
    <xf numFmtId="165" fontId="10" fillId="8" borderId="41" xfId="1" applyNumberFormat="1" applyFont="1" applyFill="1" applyBorder="1" applyAlignment="1" applyProtection="1"/>
    <xf numFmtId="165" fontId="10" fillId="6" borderId="0" xfId="1" applyNumberFormat="1" applyFont="1" applyFill="1" applyBorder="1" applyAlignment="1" applyProtection="1"/>
    <xf numFmtId="165" fontId="10" fillId="0" borderId="24" xfId="1" applyNumberFormat="1" applyFont="1" applyFill="1" applyBorder="1" applyAlignment="1" applyProtection="1"/>
    <xf numFmtId="43" fontId="10" fillId="0" borderId="42" xfId="1" applyNumberFormat="1" applyFont="1" applyFill="1" applyBorder="1" applyAlignment="1" applyProtection="1"/>
    <xf numFmtId="165" fontId="10" fillId="0" borderId="42" xfId="1" applyNumberFormat="1" applyFont="1" applyFill="1" applyBorder="1" applyAlignment="1" applyProtection="1"/>
    <xf numFmtId="165" fontId="10" fillId="0" borderId="43" xfId="1" applyNumberFormat="1" applyFont="1" applyFill="1" applyBorder="1" applyAlignment="1" applyProtection="1"/>
    <xf numFmtId="165" fontId="10" fillId="0" borderId="44" xfId="1" applyNumberFormat="1" applyFont="1" applyFill="1" applyBorder="1" applyAlignment="1" applyProtection="1"/>
    <xf numFmtId="165" fontId="10" fillId="0" borderId="45" xfId="1" applyNumberFormat="1" applyFont="1" applyFill="1" applyBorder="1" applyAlignment="1" applyProtection="1"/>
    <xf numFmtId="165" fontId="10" fillId="0" borderId="46" xfId="1" applyNumberFormat="1" applyFont="1" applyFill="1" applyBorder="1" applyAlignment="1" applyProtection="1"/>
    <xf numFmtId="165" fontId="10" fillId="0" borderId="47" xfId="1" applyNumberFormat="1" applyFont="1" applyFill="1" applyBorder="1" applyAlignment="1" applyProtection="1"/>
    <xf numFmtId="165" fontId="12" fillId="8" borderId="48" xfId="1" applyNumberFormat="1" applyFont="1" applyFill="1" applyBorder="1" applyAlignment="1" applyProtection="1"/>
    <xf numFmtId="166" fontId="13" fillId="8" borderId="21" xfId="2" applyNumberFormat="1" applyFont="1" applyFill="1" applyBorder="1" applyAlignment="1" applyProtection="1"/>
    <xf numFmtId="165" fontId="10" fillId="8" borderId="49" xfId="1" applyNumberFormat="1" applyFont="1" applyFill="1" applyBorder="1" applyAlignment="1" applyProtection="1"/>
    <xf numFmtId="43" fontId="10" fillId="0" borderId="15" xfId="1" applyNumberFormat="1" applyFont="1" applyFill="1" applyBorder="1" applyAlignment="1" applyProtection="1"/>
    <xf numFmtId="0" fontId="12" fillId="3" borderId="50" xfId="0" applyNumberFormat="1" applyFont="1" applyFill="1" applyBorder="1" applyAlignment="1" applyProtection="1"/>
    <xf numFmtId="165" fontId="12" fillId="3" borderId="51" xfId="1" applyNumberFormat="1" applyFont="1" applyFill="1" applyBorder="1" applyAlignment="1" applyProtection="1"/>
    <xf numFmtId="165" fontId="12" fillId="3" borderId="52" xfId="1" applyNumberFormat="1" applyFont="1" applyFill="1" applyBorder="1" applyAlignment="1" applyProtection="1"/>
    <xf numFmtId="165" fontId="12" fillId="3" borderId="53" xfId="1" applyNumberFormat="1" applyFont="1" applyFill="1" applyBorder="1" applyAlignment="1" applyProtection="1"/>
    <xf numFmtId="0" fontId="12" fillId="4" borderId="25" xfId="0" applyNumberFormat="1" applyFont="1" applyFill="1" applyBorder="1" applyAlignment="1" applyProtection="1"/>
    <xf numFmtId="165" fontId="12" fillId="4" borderId="54" xfId="1" applyNumberFormat="1" applyFont="1" applyFill="1" applyBorder="1" applyAlignment="1" applyProtection="1"/>
    <xf numFmtId="165" fontId="12" fillId="4" borderId="55" xfId="1" applyNumberFormat="1" applyFont="1" applyFill="1" applyBorder="1" applyAlignment="1" applyProtection="1"/>
    <xf numFmtId="165" fontId="12" fillId="4" borderId="56" xfId="1" applyNumberFormat="1" applyFont="1" applyFill="1" applyBorder="1" applyAlignment="1" applyProtection="1"/>
    <xf numFmtId="0" fontId="12" fillId="3" borderId="22" xfId="0" applyNumberFormat="1" applyFont="1" applyFill="1" applyBorder="1" applyAlignment="1" applyProtection="1"/>
    <xf numFmtId="165" fontId="12" fillId="3" borderId="34" xfId="1" applyNumberFormat="1" applyFont="1" applyFill="1" applyBorder="1" applyAlignment="1" applyProtection="1"/>
    <xf numFmtId="165" fontId="10" fillId="4" borderId="15" xfId="1" applyNumberFormat="1" applyFont="1" applyFill="1" applyBorder="1" applyAlignment="1" applyProtection="1"/>
    <xf numFmtId="165" fontId="10" fillId="4" borderId="0" xfId="1" applyNumberFormat="1" applyFont="1" applyFill="1" applyBorder="1" applyAlignment="1" applyProtection="1"/>
    <xf numFmtId="165" fontId="10" fillId="4" borderId="5" xfId="1" applyNumberFormat="1" applyFont="1" applyFill="1" applyBorder="1" applyAlignment="1" applyProtection="1"/>
    <xf numFmtId="0" fontId="9" fillId="4" borderId="26" xfId="0" applyNumberFormat="1" applyFont="1" applyFill="1" applyBorder="1" applyAlignment="1" applyProtection="1"/>
    <xf numFmtId="165" fontId="12" fillId="7" borderId="15" xfId="1" applyNumberFormat="1" applyFont="1" applyFill="1" applyBorder="1" applyAlignment="1" applyProtection="1"/>
    <xf numFmtId="165" fontId="12" fillId="7" borderId="0" xfId="1" applyNumberFormat="1" applyFont="1" applyFill="1" applyBorder="1" applyAlignment="1" applyProtection="1"/>
    <xf numFmtId="0" fontId="12" fillId="7" borderId="29" xfId="0" applyNumberFormat="1" applyFont="1" applyFill="1" applyBorder="1" applyAlignment="1" applyProtection="1"/>
    <xf numFmtId="165" fontId="12" fillId="7" borderId="5" xfId="1" applyNumberFormat="1" applyFont="1" applyFill="1" applyBorder="1" applyAlignment="1" applyProtection="1"/>
    <xf numFmtId="165" fontId="11" fillId="0" borderId="15" xfId="1" applyNumberFormat="1" applyFont="1" applyFill="1" applyBorder="1" applyAlignment="1" applyProtection="1"/>
    <xf numFmtId="165" fontId="11" fillId="0" borderId="0" xfId="1" applyNumberFormat="1" applyFont="1" applyFill="1" applyBorder="1" applyAlignment="1" applyProtection="1"/>
    <xf numFmtId="165" fontId="11" fillId="0" borderId="24" xfId="1" applyNumberFormat="1" applyFont="1" applyFill="1" applyBorder="1" applyAlignment="1" applyProtection="1"/>
    <xf numFmtId="0" fontId="11" fillId="2" borderId="57" xfId="0" applyNumberFormat="1" applyFont="1" applyFill="1" applyBorder="1" applyAlignment="1" applyProtection="1"/>
    <xf numFmtId="165" fontId="11" fillId="2" borderId="58" xfId="1" applyNumberFormat="1" applyFont="1" applyFill="1" applyBorder="1" applyAlignment="1" applyProtection="1"/>
    <xf numFmtId="165" fontId="11" fillId="2" borderId="59" xfId="1" applyNumberFormat="1" applyFont="1" applyFill="1" applyBorder="1" applyAlignment="1" applyProtection="1"/>
    <xf numFmtId="165" fontId="11" fillId="2" borderId="60" xfId="1" applyNumberFormat="1" applyFont="1" applyFill="1" applyBorder="1" applyAlignment="1" applyProtection="1"/>
    <xf numFmtId="165" fontId="10" fillId="0" borderId="61" xfId="1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/>
    <xf numFmtId="165" fontId="12" fillId="8" borderId="62" xfId="1" applyNumberFormat="1" applyFont="1" applyFill="1" applyBorder="1" applyAlignment="1" applyProtection="1"/>
    <xf numFmtId="165" fontId="10" fillId="8" borderId="24" xfId="1" applyNumberFormat="1" applyFont="1" applyFill="1" applyBorder="1" applyAlignment="1" applyProtection="1"/>
    <xf numFmtId="166" fontId="13" fillId="8" borderId="24" xfId="2" applyNumberFormat="1" applyFont="1" applyFill="1" applyBorder="1" applyAlignment="1" applyProtection="1"/>
    <xf numFmtId="165" fontId="10" fillId="8" borderId="63" xfId="1" applyNumberFormat="1" applyFont="1" applyFill="1" applyBorder="1" applyAlignment="1" applyProtection="1"/>
    <xf numFmtId="165" fontId="21" fillId="0" borderId="0" xfId="1" applyNumberFormat="1" applyFont="1" applyFill="1" applyBorder="1" applyAlignment="1" applyProtection="1"/>
    <xf numFmtId="165" fontId="9" fillId="0" borderId="0" xfId="1" applyNumberFormat="1" applyFont="1" applyFill="1" applyBorder="1" applyAlignment="1" applyProtection="1"/>
    <xf numFmtId="0" fontId="9" fillId="9" borderId="29" xfId="0" applyNumberFormat="1" applyFont="1" applyFill="1" applyBorder="1" applyAlignment="1" applyProtection="1"/>
    <xf numFmtId="0" fontId="9" fillId="0" borderId="65" xfId="0" applyNumberFormat="1" applyFont="1" applyFill="1" applyBorder="1" applyAlignment="1" applyProtection="1"/>
    <xf numFmtId="165" fontId="10" fillId="0" borderId="66" xfId="1" applyNumberFormat="1" applyFont="1" applyFill="1" applyBorder="1" applyAlignment="1" applyProtection="1"/>
    <xf numFmtId="165" fontId="10" fillId="0" borderId="67" xfId="1" applyNumberFormat="1" applyFont="1" applyFill="1" applyBorder="1" applyAlignment="1" applyProtection="1"/>
    <xf numFmtId="165" fontId="10" fillId="0" borderId="68" xfId="1" applyNumberFormat="1" applyFont="1" applyFill="1" applyBorder="1" applyAlignment="1" applyProtection="1"/>
    <xf numFmtId="43" fontId="10" fillId="0" borderId="69" xfId="1" applyNumberFormat="1" applyFont="1" applyFill="1" applyBorder="1" applyAlignment="1" applyProtection="1"/>
    <xf numFmtId="0" fontId="9" fillId="0" borderId="70" xfId="0" applyNumberFormat="1" applyFont="1" applyFill="1" applyBorder="1" applyAlignment="1" applyProtection="1"/>
    <xf numFmtId="43" fontId="10" fillId="0" borderId="71" xfId="1" applyNumberFormat="1" applyFont="1" applyFill="1" applyBorder="1" applyAlignment="1" applyProtection="1"/>
    <xf numFmtId="0" fontId="12" fillId="0" borderId="70" xfId="0" applyNumberFormat="1" applyFont="1" applyFill="1" applyBorder="1" applyAlignment="1" applyProtection="1"/>
    <xf numFmtId="0" fontId="12" fillId="5" borderId="72" xfId="0" applyNumberFormat="1" applyFont="1" applyFill="1" applyBorder="1" applyAlignment="1" applyProtection="1"/>
    <xf numFmtId="165" fontId="12" fillId="5" borderId="64" xfId="1" applyNumberFormat="1" applyFont="1" applyFill="1" applyBorder="1" applyAlignment="1" applyProtection="1"/>
    <xf numFmtId="165" fontId="12" fillId="5" borderId="73" xfId="1" applyNumberFormat="1" applyFont="1" applyFill="1" applyBorder="1" applyAlignment="1" applyProtection="1"/>
    <xf numFmtId="165" fontId="12" fillId="5" borderId="74" xfId="1" applyNumberFormat="1" applyFont="1" applyFill="1" applyBorder="1" applyAlignment="1" applyProtection="1"/>
    <xf numFmtId="165" fontId="10" fillId="0" borderId="71" xfId="1" applyNumberFormat="1" applyFont="1" applyFill="1" applyBorder="1" applyAlignment="1" applyProtection="1"/>
    <xf numFmtId="0" fontId="9" fillId="0" borderId="0" xfId="0" applyFont="1" applyBorder="1"/>
    <xf numFmtId="0" fontId="0" fillId="0" borderId="0" xfId="0" applyBorder="1"/>
    <xf numFmtId="43" fontId="0" fillId="0" borderId="0" xfId="1" applyFont="1" applyBorder="1"/>
    <xf numFmtId="0" fontId="12" fillId="0" borderId="0" xfId="0" applyFont="1" applyFill="1"/>
    <xf numFmtId="43" fontId="12" fillId="0" borderId="0" xfId="1" applyFont="1" applyFill="1"/>
    <xf numFmtId="0" fontId="7" fillId="0" borderId="0" xfId="0" applyFont="1"/>
    <xf numFmtId="0" fontId="7" fillId="0" borderId="2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43" fontId="7" fillId="0" borderId="0" xfId="0" applyNumberFormat="1" applyFont="1" applyFill="1" applyBorder="1" applyAlignment="1" applyProtection="1"/>
    <xf numFmtId="43" fontId="7" fillId="0" borderId="0" xfId="1" applyFont="1"/>
    <xf numFmtId="0" fontId="7" fillId="0" borderId="70" xfId="0" applyNumberFormat="1" applyFont="1" applyFill="1" applyBorder="1" applyAlignment="1" applyProtection="1"/>
    <xf numFmtId="0" fontId="7" fillId="0" borderId="29" xfId="0" applyNumberFormat="1" applyFont="1" applyFill="1" applyBorder="1" applyAlignment="1" applyProtection="1"/>
    <xf numFmtId="0" fontId="12" fillId="10" borderId="0" xfId="0" applyNumberFormat="1" applyFont="1" applyFill="1" applyBorder="1" applyAlignment="1" applyProtection="1"/>
    <xf numFmtId="165" fontId="8" fillId="0" borderId="0" xfId="1" applyNumberFormat="1" applyFont="1" applyFill="1" applyBorder="1" applyAlignment="1" applyProtection="1">
      <alignment horizontal="center"/>
    </xf>
    <xf numFmtId="16" fontId="0" fillId="0" borderId="0" xfId="0" applyNumberFormat="1"/>
    <xf numFmtId="0" fontId="0" fillId="11" borderId="0" xfId="0" applyFill="1"/>
    <xf numFmtId="43" fontId="0" fillId="11" borderId="0" xfId="1" applyFont="1" applyFill="1"/>
    <xf numFmtId="0" fontId="7" fillId="11" borderId="0" xfId="0" applyFont="1" applyFill="1"/>
    <xf numFmtId="165" fontId="24" fillId="0" borderId="44" xfId="1" applyNumberFormat="1" applyFont="1" applyFill="1" applyBorder="1" applyAlignment="1" applyProtection="1">
      <alignment horizontal="center"/>
    </xf>
    <xf numFmtId="165" fontId="25" fillId="0" borderId="0" xfId="1" applyNumberFormat="1" applyFont="1" applyFill="1" applyBorder="1" applyAlignment="1" applyProtection="1">
      <alignment horizontal="center"/>
    </xf>
    <xf numFmtId="165" fontId="12" fillId="4" borderId="0" xfId="1" applyNumberFormat="1" applyFont="1" applyFill="1" applyBorder="1" applyAlignment="1" applyProtection="1"/>
    <xf numFmtId="165" fontId="12" fillId="10" borderId="0" xfId="1" applyNumberFormat="1" applyFont="1" applyFill="1" applyBorder="1" applyAlignment="1" applyProtection="1"/>
    <xf numFmtId="165" fontId="11" fillId="2" borderId="0" xfId="1" applyNumberFormat="1" applyFont="1" applyFill="1" applyBorder="1" applyAlignment="1" applyProtection="1"/>
    <xf numFmtId="165" fontId="12" fillId="5" borderId="0" xfId="1" applyNumberFormat="1" applyFont="1" applyFill="1" applyBorder="1" applyAlignment="1" applyProtection="1"/>
    <xf numFmtId="165" fontId="10" fillId="0" borderId="69" xfId="1" applyNumberFormat="1" applyFont="1" applyFill="1" applyBorder="1" applyAlignment="1" applyProtection="1"/>
    <xf numFmtId="165" fontId="11" fillId="2" borderId="75" xfId="1" applyNumberFormat="1" applyFont="1" applyFill="1" applyBorder="1" applyAlignment="1" applyProtection="1"/>
    <xf numFmtId="0" fontId="12" fillId="10" borderId="26" xfId="0" applyNumberFormat="1" applyFont="1" applyFill="1" applyBorder="1" applyAlignment="1" applyProtection="1"/>
    <xf numFmtId="165" fontId="12" fillId="10" borderId="15" xfId="1" applyNumberFormat="1" applyFont="1" applyFill="1" applyBorder="1" applyAlignment="1" applyProtection="1"/>
    <xf numFmtId="165" fontId="12" fillId="10" borderId="5" xfId="1" applyNumberFormat="1" applyFont="1" applyFill="1" applyBorder="1" applyAlignment="1" applyProtection="1"/>
    <xf numFmtId="0" fontId="0" fillId="0" borderId="76" xfId="0" applyNumberFormat="1" applyFill="1" applyBorder="1" applyAlignment="1" applyProtection="1"/>
    <xf numFmtId="43" fontId="10" fillId="0" borderId="78" xfId="1" applyNumberFormat="1" applyFont="1" applyFill="1" applyBorder="1" applyAlignment="1" applyProtection="1"/>
    <xf numFmtId="43" fontId="10" fillId="0" borderId="79" xfId="1" applyNumberFormat="1" applyFont="1" applyFill="1" applyBorder="1" applyAlignment="1" applyProtection="1"/>
    <xf numFmtId="43" fontId="12" fillId="5" borderId="0" xfId="1" applyFont="1" applyFill="1" applyBorder="1" applyAlignment="1" applyProtection="1"/>
    <xf numFmtId="165" fontId="13" fillId="0" borderId="46" xfId="1" applyNumberFormat="1" applyFont="1" applyFill="1" applyBorder="1" applyAlignment="1" applyProtection="1"/>
    <xf numFmtId="165" fontId="11" fillId="0" borderId="5" xfId="1" applyNumberFormat="1" applyFont="1" applyFill="1" applyBorder="1" applyAlignment="1" applyProtection="1"/>
    <xf numFmtId="165" fontId="11" fillId="2" borderId="80" xfId="1" applyNumberFormat="1" applyFont="1" applyFill="1" applyBorder="1" applyAlignment="1" applyProtection="1"/>
    <xf numFmtId="168" fontId="0" fillId="0" borderId="0" xfId="0" applyNumberFormat="1"/>
    <xf numFmtId="168" fontId="7" fillId="0" borderId="0" xfId="0" applyNumberFormat="1" applyFont="1"/>
    <xf numFmtId="0" fontId="0" fillId="0" borderId="0" xfId="0" applyFill="1"/>
    <xf numFmtId="0" fontId="0" fillId="0" borderId="0" xfId="0" applyNumberFormat="1" applyFill="1" applyBorder="1" applyAlignment="1" applyProtection="1">
      <alignment horizontal="left"/>
    </xf>
    <xf numFmtId="0" fontId="9" fillId="0" borderId="0" xfId="0" applyFont="1" applyFill="1"/>
    <xf numFmtId="44" fontId="0" fillId="4" borderId="0" xfId="22" applyFont="1" applyFill="1"/>
    <xf numFmtId="44" fontId="0" fillId="0" borderId="0" xfId="22" applyFont="1" applyFill="1"/>
    <xf numFmtId="44" fontId="0" fillId="0" borderId="0" xfId="22" applyFont="1"/>
    <xf numFmtId="44" fontId="0" fillId="0" borderId="12" xfId="22" applyFont="1" applyBorder="1"/>
    <xf numFmtId="44" fontId="0" fillId="0" borderId="12" xfId="22" applyFont="1" applyFill="1" applyBorder="1"/>
    <xf numFmtId="44" fontId="0" fillId="0" borderId="0" xfId="22" applyFont="1" applyBorder="1"/>
    <xf numFmtId="44" fontId="0" fillId="11" borderId="0" xfId="22" applyFont="1" applyFill="1"/>
    <xf numFmtId="44" fontId="12" fillId="0" borderId="0" xfId="22" applyFont="1" applyFill="1"/>
    <xf numFmtId="44" fontId="0" fillId="0" borderId="11" xfId="22" applyFont="1" applyBorder="1"/>
    <xf numFmtId="165" fontId="20" fillId="0" borderId="0" xfId="1" applyNumberFormat="1" applyFont="1" applyFill="1" applyBorder="1" applyAlignment="1" applyProtection="1"/>
    <xf numFmtId="0" fontId="0" fillId="0" borderId="0" xfId="0" applyFill="1" applyBorder="1"/>
    <xf numFmtId="165" fontId="7" fillId="0" borderId="0" xfId="1" applyNumberFormat="1" applyFont="1" applyFill="1" applyBorder="1" applyAlignment="1" applyProtection="1"/>
    <xf numFmtId="165" fontId="31" fillId="0" borderId="0" xfId="1" applyNumberFormat="1" applyFont="1" applyFill="1" applyBorder="1" applyAlignment="1" applyProtection="1">
      <alignment horizontal="center"/>
    </xf>
    <xf numFmtId="165" fontId="12" fillId="0" borderId="0" xfId="1" applyNumberFormat="1" applyFont="1" applyFill="1" applyBorder="1" applyAlignment="1" applyProtection="1">
      <alignment horizontal="center"/>
    </xf>
    <xf numFmtId="44" fontId="0" fillId="0" borderId="0" xfId="22" applyNumberFormat="1" applyFont="1"/>
    <xf numFmtId="0" fontId="0" fillId="0" borderId="0" xfId="0" quotePrefix="1" applyBorder="1"/>
    <xf numFmtId="6" fontId="0" fillId="0" borderId="12" xfId="22" applyNumberFormat="1" applyFont="1" applyBorder="1"/>
    <xf numFmtId="44" fontId="9" fillId="0" borderId="0" xfId="22" applyFont="1" applyFill="1"/>
    <xf numFmtId="0" fontId="0" fillId="4" borderId="0" xfId="0" applyFill="1"/>
    <xf numFmtId="169" fontId="10" fillId="0" borderId="42" xfId="1" applyNumberFormat="1" applyFont="1" applyFill="1" applyBorder="1" applyAlignment="1" applyProtection="1"/>
    <xf numFmtId="165" fontId="32" fillId="0" borderId="42" xfId="1" applyNumberFormat="1" applyFont="1" applyFill="1" applyBorder="1" applyAlignment="1" applyProtection="1"/>
    <xf numFmtId="165" fontId="10" fillId="0" borderId="77" xfId="1" applyNumberFormat="1" applyFont="1" applyFill="1" applyBorder="1" applyAlignment="1" applyProtection="1"/>
    <xf numFmtId="0" fontId="7" fillId="0" borderId="0" xfId="0" applyFont="1" applyFill="1"/>
    <xf numFmtId="16" fontId="0" fillId="0" borderId="0" xfId="0" applyNumberFormat="1" applyFill="1"/>
    <xf numFmtId="0" fontId="0" fillId="0" borderId="0" xfId="0" applyAlignment="1">
      <alignment horizontal="center"/>
    </xf>
    <xf numFmtId="15" fontId="0" fillId="0" borderId="0" xfId="0" applyNumberFormat="1" applyBorder="1"/>
    <xf numFmtId="3" fontId="0" fillId="0" borderId="0" xfId="0" applyNumberFormat="1" applyBorder="1"/>
    <xf numFmtId="165" fontId="26" fillId="0" borderId="0" xfId="1" applyNumberFormat="1" applyFont="1" applyFill="1" applyBorder="1" applyAlignment="1" applyProtection="1">
      <alignment horizontal="center"/>
    </xf>
    <xf numFmtId="165" fontId="33" fillId="0" borderId="0" xfId="1" applyNumberFormat="1" applyFont="1" applyFill="1" applyBorder="1" applyAlignment="1" applyProtection="1">
      <alignment horizontal="center"/>
    </xf>
    <xf numFmtId="165" fontId="34" fillId="2" borderId="0" xfId="1" applyNumberFormat="1" applyFont="1" applyFill="1" applyBorder="1" applyAlignment="1" applyProtection="1">
      <alignment horizontal="center"/>
    </xf>
    <xf numFmtId="165" fontId="34" fillId="0" borderId="0" xfId="1" applyNumberFormat="1" applyFont="1" applyFill="1" applyBorder="1" applyAlignment="1" applyProtection="1">
      <alignment horizontal="center"/>
    </xf>
    <xf numFmtId="165" fontId="35" fillId="0" borderId="8" xfId="1" applyNumberFormat="1" applyFont="1" applyFill="1" applyBorder="1" applyAlignment="1" applyProtection="1"/>
    <xf numFmtId="165" fontId="34" fillId="3" borderId="52" xfId="1" applyNumberFormat="1" applyFont="1" applyFill="1" applyBorder="1" applyAlignment="1" applyProtection="1"/>
    <xf numFmtId="165" fontId="35" fillId="0" borderId="0" xfId="1" applyNumberFormat="1" applyFont="1" applyFill="1" applyBorder="1" applyAlignment="1" applyProtection="1"/>
    <xf numFmtId="165" fontId="35" fillId="0" borderId="43" xfId="1" applyNumberFormat="1" applyFont="1" applyFill="1" applyBorder="1" applyAlignment="1" applyProtection="1"/>
    <xf numFmtId="165" fontId="35" fillId="0" borderId="44" xfId="1" applyNumberFormat="1" applyFont="1" applyFill="1" applyBorder="1" applyAlignment="1" applyProtection="1"/>
    <xf numFmtId="165" fontId="34" fillId="4" borderId="55" xfId="1" applyNumberFormat="1" applyFont="1" applyFill="1" applyBorder="1" applyAlignment="1" applyProtection="1"/>
    <xf numFmtId="165" fontId="34" fillId="0" borderId="0" xfId="1" applyNumberFormat="1" applyFont="1" applyFill="1" applyBorder="1" applyAlignment="1" applyProtection="1"/>
    <xf numFmtId="165" fontId="34" fillId="10" borderId="0" xfId="1" applyNumberFormat="1" applyFont="1" applyFill="1" applyBorder="1" applyAlignment="1" applyProtection="1"/>
    <xf numFmtId="165" fontId="34" fillId="2" borderId="0" xfId="1" applyNumberFormat="1" applyFont="1" applyFill="1" applyBorder="1" applyAlignment="1" applyProtection="1"/>
    <xf numFmtId="165" fontId="35" fillId="4" borderId="0" xfId="1" applyNumberFormat="1" applyFont="1" applyFill="1" applyBorder="1" applyAlignment="1" applyProtection="1"/>
    <xf numFmtId="43" fontId="35" fillId="0" borderId="78" xfId="1" applyNumberFormat="1" applyFont="1" applyFill="1" applyBorder="1" applyAlignment="1" applyProtection="1"/>
    <xf numFmtId="43" fontId="34" fillId="5" borderId="0" xfId="1" applyFont="1" applyFill="1" applyBorder="1" applyAlignment="1" applyProtection="1"/>
    <xf numFmtId="165" fontId="35" fillId="0" borderId="47" xfId="1" applyNumberFormat="1" applyFont="1" applyFill="1" applyBorder="1" applyAlignment="1" applyProtection="1"/>
    <xf numFmtId="165" fontId="34" fillId="7" borderId="0" xfId="1" applyNumberFormat="1" applyFont="1" applyFill="1" applyBorder="1" applyAlignment="1" applyProtection="1"/>
    <xf numFmtId="165" fontId="34" fillId="8" borderId="48" xfId="1" applyNumberFormat="1" applyFont="1" applyFill="1" applyBorder="1" applyAlignment="1" applyProtection="1"/>
    <xf numFmtId="165" fontId="35" fillId="8" borderId="21" xfId="1" applyNumberFormat="1" applyFont="1" applyFill="1" applyBorder="1" applyAlignment="1" applyProtection="1"/>
    <xf numFmtId="166" fontId="35" fillId="8" borderId="21" xfId="2" applyNumberFormat="1" applyFont="1" applyFill="1" applyBorder="1" applyAlignment="1" applyProtection="1"/>
    <xf numFmtId="165" fontId="35" fillId="8" borderId="49" xfId="1" applyNumberFormat="1" applyFont="1" applyFill="1" applyBorder="1" applyAlignment="1" applyProtection="1"/>
    <xf numFmtId="165" fontId="36" fillId="0" borderId="0" xfId="1" applyNumberFormat="1" applyFont="1" applyFill="1" applyBorder="1" applyAlignment="1" applyProtection="1"/>
    <xf numFmtId="165" fontId="26" fillId="0" borderId="0" xfId="1" applyNumberFormat="1" applyFont="1" applyFill="1" applyBorder="1" applyAlignment="1" applyProtection="1"/>
    <xf numFmtId="165" fontId="37" fillId="0" borderId="42" xfId="1" applyNumberFormat="1" applyFont="1" applyFill="1" applyBorder="1" applyAlignment="1" applyProtection="1">
      <alignment horizontal="center"/>
    </xf>
    <xf numFmtId="43" fontId="9" fillId="0" borderId="0" xfId="1" applyFont="1" applyFill="1"/>
    <xf numFmtId="43" fontId="9" fillId="11" borderId="0" xfId="1" applyFont="1" applyFill="1"/>
    <xf numFmtId="0" fontId="5" fillId="0" borderId="81" xfId="26" applyBorder="1" applyAlignment="1">
      <alignment horizontal="left" vertical="center"/>
    </xf>
    <xf numFmtId="0" fontId="5" fillId="0" borderId="0" xfId="26" applyAlignment="1">
      <alignment horizontal="left" vertical="center"/>
    </xf>
    <xf numFmtId="0" fontId="3" fillId="0" borderId="0" xfId="26" applyFont="1" applyAlignment="1">
      <alignment horizontal="left" vertical="center"/>
    </xf>
    <xf numFmtId="44" fontId="5" fillId="0" borderId="0" xfId="22" applyFont="1" applyAlignment="1">
      <alignment horizontal="left" vertical="center"/>
    </xf>
    <xf numFmtId="44" fontId="5" fillId="0" borderId="81" xfId="22" applyFont="1" applyBorder="1" applyAlignment="1">
      <alignment horizontal="left" vertical="center"/>
    </xf>
    <xf numFmtId="0" fontId="3" fillId="11" borderId="0" xfId="26" applyFont="1" applyFill="1" applyAlignment="1">
      <alignment horizontal="left" vertical="center"/>
    </xf>
    <xf numFmtId="0" fontId="5" fillId="11" borderId="0" xfId="26" applyFill="1" applyAlignment="1">
      <alignment horizontal="left" vertical="center"/>
    </xf>
    <xf numFmtId="44" fontId="5" fillId="11" borderId="0" xfId="22" applyFont="1" applyFill="1" applyAlignment="1">
      <alignment horizontal="left" vertical="center"/>
    </xf>
    <xf numFmtId="0" fontId="4" fillId="0" borderId="0" xfId="26" applyFont="1" applyFill="1" applyAlignment="1">
      <alignment horizontal="left" vertical="center"/>
    </xf>
    <xf numFmtId="0" fontId="5" fillId="0" borderId="0" xfId="26" applyFill="1" applyAlignment="1">
      <alignment horizontal="left" vertical="center"/>
    </xf>
    <xf numFmtId="0" fontId="5" fillId="0" borderId="81" xfId="26" applyFill="1" applyBorder="1" applyAlignment="1">
      <alignment horizontal="left" vertical="center"/>
    </xf>
    <xf numFmtId="44" fontId="5" fillId="0" borderId="81" xfId="22" applyFont="1" applyFill="1" applyBorder="1" applyAlignment="1">
      <alignment horizontal="left" vertical="center" wrapText="1"/>
    </xf>
    <xf numFmtId="0" fontId="3" fillId="0" borderId="81" xfId="26" applyFont="1" applyFill="1" applyBorder="1" applyAlignment="1">
      <alignment horizontal="left" vertical="center" wrapText="1"/>
    </xf>
    <xf numFmtId="0" fontId="5" fillId="0" borderId="81" xfId="26" applyFill="1" applyBorder="1" applyAlignment="1">
      <alignment horizontal="left" vertical="center" wrapText="1"/>
    </xf>
    <xf numFmtId="44" fontId="5" fillId="0" borderId="84" xfId="22" applyFont="1" applyBorder="1" applyAlignment="1">
      <alignment horizontal="left" vertical="center"/>
    </xf>
    <xf numFmtId="0" fontId="0" fillId="0" borderId="12" xfId="0" applyBorder="1"/>
    <xf numFmtId="0" fontId="0" fillId="0" borderId="11" xfId="0" applyBorder="1"/>
    <xf numFmtId="14" fontId="0" fillId="0" borderId="0" xfId="0" applyNumberFormat="1"/>
    <xf numFmtId="165" fontId="40" fillId="0" borderId="15" xfId="1" applyNumberFormat="1" applyFont="1" applyFill="1" applyBorder="1" applyAlignment="1" applyProtection="1"/>
    <xf numFmtId="165" fontId="40" fillId="0" borderId="42" xfId="1" applyNumberFormat="1" applyFont="1" applyFill="1" applyBorder="1" applyAlignment="1" applyProtection="1"/>
    <xf numFmtId="165" fontId="40" fillId="0" borderId="44" xfId="1" applyNumberFormat="1" applyFont="1" applyFill="1" applyBorder="1" applyAlignment="1" applyProtection="1"/>
    <xf numFmtId="165" fontId="41" fillId="0" borderId="44" xfId="1" applyNumberFormat="1" applyFont="1" applyFill="1" applyBorder="1" applyAlignment="1" applyProtection="1">
      <alignment horizontal="center"/>
    </xf>
    <xf numFmtId="165" fontId="40" fillId="0" borderId="45" xfId="1" applyNumberFormat="1" applyFont="1" applyFill="1" applyBorder="1" applyAlignment="1" applyProtection="1"/>
    <xf numFmtId="43" fontId="40" fillId="0" borderId="69" xfId="1" applyNumberFormat="1" applyFont="1" applyFill="1" applyBorder="1" applyAlignment="1" applyProtection="1"/>
    <xf numFmtId="43" fontId="40" fillId="0" borderId="71" xfId="1" applyNumberFormat="1" applyFont="1" applyFill="1" applyBorder="1" applyAlignment="1" applyProtection="1"/>
    <xf numFmtId="165" fontId="40" fillId="0" borderId="71" xfId="1" applyNumberFormat="1" applyFont="1" applyFill="1" applyBorder="1" applyAlignment="1" applyProtection="1"/>
    <xf numFmtId="165" fontId="40" fillId="0" borderId="8" xfId="1" applyNumberFormat="1" applyFont="1" applyFill="1" applyBorder="1" applyAlignment="1" applyProtection="1"/>
    <xf numFmtId="0" fontId="7" fillId="9" borderId="29" xfId="0" applyNumberFormat="1" applyFont="1" applyFill="1" applyBorder="1" applyAlignment="1" applyProtection="1"/>
    <xf numFmtId="44" fontId="0" fillId="0" borderId="0" xfId="22" applyFont="1" applyFill="1" applyBorder="1"/>
    <xf numFmtId="0" fontId="2" fillId="0" borderId="81" xfId="26" applyFont="1" applyBorder="1" applyAlignment="1">
      <alignment horizontal="left" vertical="center"/>
    </xf>
    <xf numFmtId="170" fontId="0" fillId="0" borderId="0" xfId="22" applyNumberFormat="1" applyFont="1"/>
    <xf numFmtId="170" fontId="8" fillId="0" borderId="0" xfId="22" applyNumberFormat="1" applyFont="1"/>
    <xf numFmtId="170" fontId="8" fillId="0" borderId="12" xfId="22" applyNumberFormat="1" applyFont="1" applyBorder="1"/>
    <xf numFmtId="170" fontId="0" fillId="0" borderId="0" xfId="22" applyNumberFormat="1" applyFont="1" applyBorder="1"/>
    <xf numFmtId="170" fontId="0" fillId="0" borderId="12" xfId="22" applyNumberFormat="1" applyFont="1" applyBorder="1"/>
    <xf numFmtId="10" fontId="7" fillId="0" borderId="0" xfId="0" applyNumberFormat="1" applyFont="1" applyBorder="1"/>
    <xf numFmtId="165" fontId="34" fillId="13" borderId="0" xfId="1" applyNumberFormat="1" applyFont="1" applyFill="1" applyBorder="1" applyAlignment="1" applyProtection="1">
      <alignment horizontal="center"/>
    </xf>
    <xf numFmtId="165" fontId="34" fillId="12" borderId="0" xfId="1" applyNumberFormat="1" applyFont="1" applyFill="1" applyBorder="1" applyAlignment="1" applyProtection="1">
      <alignment horizontal="center"/>
    </xf>
    <xf numFmtId="165" fontId="40" fillId="0" borderId="47" xfId="1" applyNumberFormat="1" applyFont="1" applyFill="1" applyBorder="1" applyAlignment="1" applyProtection="1"/>
    <xf numFmtId="165" fontId="34" fillId="14" borderId="0" xfId="1" applyNumberFormat="1" applyFont="1" applyFill="1" applyBorder="1" applyAlignment="1" applyProtection="1">
      <alignment horizontal="center"/>
    </xf>
    <xf numFmtId="165" fontId="34" fillId="15" borderId="0" xfId="1" applyNumberFormat="1" applyFont="1" applyFill="1" applyBorder="1" applyAlignment="1" applyProtection="1">
      <alignment horizontal="center"/>
    </xf>
    <xf numFmtId="0" fontId="0" fillId="0" borderId="81" xfId="0" applyBorder="1" applyAlignment="1">
      <alignment horizontal="left" vertical="center"/>
    </xf>
    <xf numFmtId="0" fontId="0" fillId="0" borderId="81" xfId="0" applyFill="1" applyBorder="1" applyAlignment="1">
      <alignment horizontal="left" vertical="center"/>
    </xf>
    <xf numFmtId="6" fontId="0" fillId="0" borderId="81" xfId="0" applyNumberFormat="1" applyFill="1" applyBorder="1" applyAlignment="1">
      <alignment horizontal="left" vertical="center"/>
    </xf>
    <xf numFmtId="0" fontId="0" fillId="0" borderId="81" xfId="0" applyFill="1" applyBorder="1" applyAlignment="1">
      <alignment horizontal="left" vertical="center" wrapText="1"/>
    </xf>
    <xf numFmtId="6" fontId="0" fillId="0" borderId="81" xfId="0" applyNumberFormat="1" applyBorder="1" applyAlignment="1">
      <alignment horizontal="left" vertical="center"/>
    </xf>
    <xf numFmtId="0" fontId="39" fillId="0" borderId="81" xfId="0" applyFont="1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6" fontId="0" fillId="0" borderId="81" xfId="0" applyNumberFormat="1" applyFill="1" applyBorder="1" applyAlignment="1">
      <alignment horizontal="left" vertical="center" wrapText="1"/>
    </xf>
    <xf numFmtId="0" fontId="44" fillId="0" borderId="81" xfId="0" applyFont="1" applyBorder="1" applyAlignment="1">
      <alignment horizontal="center" vertical="center"/>
    </xf>
    <xf numFmtId="168" fontId="44" fillId="0" borderId="81" xfId="0" applyNumberFormat="1" applyFont="1" applyBorder="1" applyAlignment="1">
      <alignment horizontal="center" vertical="center"/>
    </xf>
    <xf numFmtId="0" fontId="1" fillId="0" borderId="0" xfId="26" applyFont="1" applyAlignment="1">
      <alignment horizontal="left" vertical="center"/>
    </xf>
    <xf numFmtId="165" fontId="46" fillId="0" borderId="46" xfId="1" applyNumberFormat="1" applyFont="1" applyFill="1" applyBorder="1" applyAlignment="1" applyProtection="1"/>
    <xf numFmtId="6" fontId="0" fillId="0" borderId="81" xfId="0" applyNumberFormat="1" applyBorder="1" applyAlignment="1">
      <alignment horizontal="left" vertical="center" wrapText="1"/>
    </xf>
    <xf numFmtId="43" fontId="0" fillId="11" borderId="0" xfId="1" applyFont="1" applyFill="1" applyAlignment="1"/>
    <xf numFmtId="0" fontId="0" fillId="6" borderId="0" xfId="0" applyFill="1"/>
    <xf numFmtId="43" fontId="0" fillId="0" borderId="0" xfId="1" applyFont="1" applyFill="1" applyAlignment="1"/>
    <xf numFmtId="0" fontId="0" fillId="6" borderId="87" xfId="0" applyFill="1" applyBorder="1"/>
    <xf numFmtId="0" fontId="0" fillId="0" borderId="88" xfId="0" applyBorder="1"/>
    <xf numFmtId="0" fontId="0" fillId="6" borderId="88" xfId="0" applyFill="1" applyBorder="1"/>
    <xf numFmtId="43" fontId="0" fillId="0" borderId="88" xfId="1" applyFont="1" applyFill="1" applyBorder="1" applyAlignment="1"/>
    <xf numFmtId="0" fontId="0" fillId="6" borderId="48" xfId="0" applyFill="1" applyBorder="1"/>
    <xf numFmtId="0" fontId="48" fillId="0" borderId="89" xfId="0" applyFont="1" applyBorder="1" applyAlignment="1">
      <alignment horizontal="left" vertical="center"/>
    </xf>
    <xf numFmtId="0" fontId="48" fillId="0" borderId="89" xfId="0" applyFont="1" applyBorder="1" applyAlignment="1">
      <alignment vertical="center"/>
    </xf>
    <xf numFmtId="0" fontId="0" fillId="6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>
      <alignment vertical="center"/>
    </xf>
    <xf numFmtId="0" fontId="0" fillId="6" borderId="21" xfId="0" applyFill="1" applyBorder="1"/>
    <xf numFmtId="0" fontId="50" fillId="0" borderId="0" xfId="0" applyNumberFormat="1" applyFont="1" applyFill="1" applyBorder="1" applyAlignment="1" applyProtection="1"/>
    <xf numFmtId="43" fontId="50" fillId="0" borderId="0" xfId="1" applyFont="1" applyFill="1" applyBorder="1" applyAlignment="1" applyProtection="1"/>
    <xf numFmtId="0" fontId="51" fillId="0" borderId="0" xfId="0" applyFont="1" applyBorder="1" applyAlignment="1">
      <alignment vertical="center"/>
    </xf>
    <xf numFmtId="171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172" fontId="51" fillId="0" borderId="0" xfId="0" applyNumberFormat="1" applyFont="1" applyBorder="1" applyAlignment="1">
      <alignment horizontal="right" vertical="center"/>
    </xf>
    <xf numFmtId="43" fontId="52" fillId="0" borderId="0" xfId="1" applyFont="1" applyFill="1" applyBorder="1" applyAlignment="1" applyProtection="1"/>
    <xf numFmtId="172" fontId="51" fillId="0" borderId="0" xfId="0" applyNumberFormat="1" applyFont="1" applyFill="1" applyBorder="1" applyAlignment="1">
      <alignment horizontal="right" vertical="center"/>
    </xf>
    <xf numFmtId="43" fontId="50" fillId="4" borderId="0" xfId="1" applyFont="1" applyFill="1" applyBorder="1" applyAlignment="1" applyProtection="1"/>
    <xf numFmtId="0" fontId="50" fillId="4" borderId="0" xfId="0" applyNumberFormat="1" applyFont="1" applyFill="1" applyBorder="1" applyAlignment="1" applyProtection="1"/>
    <xf numFmtId="0" fontId="51" fillId="0" borderId="0" xfId="0" applyFont="1" applyFill="1" applyBorder="1" applyAlignment="1">
      <alignment vertical="center"/>
    </xf>
    <xf numFmtId="171" fontId="51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0" fillId="0" borderId="90" xfId="0" applyNumberFormat="1" applyFill="1" applyBorder="1" applyAlignment="1" applyProtection="1"/>
    <xf numFmtId="0" fontId="0" fillId="6" borderId="90" xfId="0" applyNumberFormat="1" applyFill="1" applyBorder="1" applyAlignment="1" applyProtection="1"/>
    <xf numFmtId="0" fontId="50" fillId="0" borderId="90" xfId="0" applyNumberFormat="1" applyFont="1" applyFill="1" applyBorder="1" applyAlignment="1" applyProtection="1"/>
    <xf numFmtId="43" fontId="50" fillId="0" borderId="90" xfId="1" applyFont="1" applyFill="1" applyBorder="1" applyAlignment="1" applyProtection="1"/>
    <xf numFmtId="0" fontId="0" fillId="6" borderId="49" xfId="0" applyFill="1" applyBorder="1"/>
    <xf numFmtId="172" fontId="51" fillId="0" borderId="12" xfId="0" applyNumberFormat="1" applyFont="1" applyBorder="1" applyAlignment="1">
      <alignment horizontal="right" vertical="center"/>
    </xf>
    <xf numFmtId="0" fontId="0" fillId="11" borderId="0" xfId="0" applyFill="1" applyAlignment="1">
      <alignment horizontal="center"/>
    </xf>
    <xf numFmtId="0" fontId="0" fillId="0" borderId="88" xfId="0" applyBorder="1" applyAlignment="1">
      <alignment horizontal="center"/>
    </xf>
    <xf numFmtId="0" fontId="50" fillId="0" borderId="0" xfId="0" applyNumberFormat="1" applyFont="1" applyFill="1" applyBorder="1" applyAlignment="1" applyProtection="1">
      <alignment horizontal="center"/>
    </xf>
    <xf numFmtId="6" fontId="52" fillId="0" borderId="0" xfId="0" applyNumberFormat="1" applyFont="1" applyFill="1" applyBorder="1" applyAlignment="1" applyProtection="1">
      <alignment horizontal="center"/>
    </xf>
    <xf numFmtId="0" fontId="50" fillId="4" borderId="0" xfId="0" applyNumberFormat="1" applyFont="1" applyFill="1" applyBorder="1" applyAlignment="1" applyProtection="1">
      <alignment horizontal="center"/>
    </xf>
    <xf numFmtId="0" fontId="50" fillId="0" borderId="90" xfId="0" applyNumberFormat="1" applyFont="1" applyFill="1" applyBorder="1" applyAlignment="1" applyProtection="1">
      <alignment horizontal="center"/>
    </xf>
    <xf numFmtId="0" fontId="53" fillId="0" borderId="0" xfId="0" applyFont="1" applyBorder="1" applyAlignment="1">
      <alignment vertical="center"/>
    </xf>
    <xf numFmtId="172" fontId="51" fillId="0" borderId="11" xfId="0" applyNumberFormat="1" applyFont="1" applyBorder="1" applyAlignment="1">
      <alignment horizontal="right" vertical="center"/>
    </xf>
    <xf numFmtId="172" fontId="51" fillId="0" borderId="11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 applyProtection="1">
      <alignment wrapText="1"/>
    </xf>
    <xf numFmtId="0" fontId="54" fillId="0" borderId="0" xfId="0" applyNumberFormat="1" applyFont="1" applyFill="1" applyBorder="1" applyAlignment="1" applyProtection="1">
      <alignment horizontal="center"/>
    </xf>
    <xf numFmtId="43" fontId="54" fillId="0" borderId="0" xfId="1" applyFont="1" applyFill="1" applyBorder="1" applyAlignment="1" applyProtection="1"/>
    <xf numFmtId="165" fontId="46" fillId="0" borderId="42" xfId="1" applyNumberFormat="1" applyFont="1" applyFill="1" applyBorder="1" applyAlignment="1" applyProtection="1"/>
    <xf numFmtId="0" fontId="47" fillId="0" borderId="0" xfId="0" applyNumberFormat="1" applyFont="1" applyFill="1" applyBorder="1" applyAlignment="1" applyProtection="1"/>
    <xf numFmtId="165" fontId="46" fillId="0" borderId="44" xfId="1" applyNumberFormat="1" applyFont="1" applyFill="1" applyBorder="1" applyAlignment="1" applyProtection="1"/>
    <xf numFmtId="0" fontId="47" fillId="0" borderId="12" xfId="0" applyFont="1" applyBorder="1"/>
    <xf numFmtId="0" fontId="47" fillId="0" borderId="0" xfId="0" applyFont="1"/>
    <xf numFmtId="165" fontId="46" fillId="0" borderId="8" xfId="1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0" fillId="16" borderId="0" xfId="0" applyFill="1"/>
    <xf numFmtId="0" fontId="55" fillId="0" borderId="0" xfId="0" applyFont="1"/>
    <xf numFmtId="165" fontId="56" fillId="0" borderId="46" xfId="1" applyNumberFormat="1" applyFont="1" applyFill="1" applyBorder="1" applyAlignment="1" applyProtection="1"/>
    <xf numFmtId="0" fontId="55" fillId="0" borderId="0" xfId="0" applyNumberFormat="1" applyFont="1" applyFill="1" applyBorder="1" applyAlignment="1" applyProtection="1"/>
    <xf numFmtId="44" fontId="55" fillId="0" borderId="12" xfId="22" applyFont="1" applyFill="1" applyBorder="1"/>
    <xf numFmtId="169" fontId="56" fillId="0" borderId="42" xfId="1" applyNumberFormat="1" applyFont="1" applyFill="1" applyBorder="1" applyAlignment="1" applyProtection="1"/>
    <xf numFmtId="165" fontId="56" fillId="0" borderId="42" xfId="1" applyNumberFormat="1" applyFont="1" applyFill="1" applyBorder="1" applyAlignment="1" applyProtection="1"/>
    <xf numFmtId="165" fontId="56" fillId="0" borderId="71" xfId="1" applyNumberFormat="1" applyFont="1" applyFill="1" applyBorder="1" applyAlignment="1" applyProtection="1"/>
    <xf numFmtId="0" fontId="56" fillId="0" borderId="0" xfId="0" applyNumberFormat="1" applyFont="1" applyFill="1" applyBorder="1" applyAlignment="1" applyProtection="1"/>
    <xf numFmtId="0" fontId="55" fillId="0" borderId="12" xfId="0" applyFont="1" applyBorder="1"/>
    <xf numFmtId="0" fontId="55" fillId="0" borderId="0" xfId="0" applyFont="1" applyBorder="1"/>
    <xf numFmtId="16" fontId="0" fillId="0" borderId="0" xfId="0" applyNumberFormat="1" applyFill="1" applyBorder="1" applyAlignment="1" applyProtection="1"/>
    <xf numFmtId="0" fontId="0" fillId="0" borderId="18" xfId="0" applyNumberFormat="1" applyFill="1" applyBorder="1" applyAlignment="1" applyProtection="1"/>
    <xf numFmtId="10" fontId="0" fillId="0" borderId="0" xfId="0" applyNumberFormat="1"/>
    <xf numFmtId="0" fontId="0" fillId="0" borderId="0" xfId="0" applyAlignment="1">
      <alignment horizontal="right"/>
    </xf>
    <xf numFmtId="170" fontId="47" fillId="0" borderId="12" xfId="22" applyNumberFormat="1" applyFont="1" applyBorder="1"/>
    <xf numFmtId="165" fontId="37" fillId="0" borderId="0" xfId="1" applyNumberFormat="1" applyFont="1" applyFill="1" applyBorder="1" applyAlignment="1" applyProtection="1">
      <alignment horizontal="left"/>
    </xf>
    <xf numFmtId="44" fontId="47" fillId="0" borderId="12" xfId="22" applyFont="1" applyBorder="1"/>
    <xf numFmtId="6" fontId="47" fillId="0" borderId="12" xfId="22" applyNumberFormat="1" applyFont="1" applyFill="1" applyBorder="1"/>
    <xf numFmtId="44" fontId="47" fillId="0" borderId="12" xfId="22" applyFont="1" applyFill="1" applyBorder="1"/>
    <xf numFmtId="44" fontId="47" fillId="0" borderId="13" xfId="22" applyFont="1" applyFill="1" applyBorder="1"/>
    <xf numFmtId="165" fontId="46" fillId="0" borderId="38" xfId="1" applyNumberFormat="1" applyFont="1" applyFill="1" applyBorder="1" applyAlignment="1" applyProtection="1"/>
    <xf numFmtId="0" fontId="8" fillId="6" borderId="86" xfId="0" applyFont="1" applyFill="1" applyBorder="1" applyAlignment="1">
      <alignment horizontal="center"/>
    </xf>
    <xf numFmtId="0" fontId="49" fillId="0" borderId="0" xfId="0" applyNumberFormat="1" applyFont="1" applyFill="1" applyBorder="1" applyAlignment="1" applyProtection="1">
      <alignment horizontal="center" vertical="center"/>
    </xf>
    <xf numFmtId="0" fontId="50" fillId="4" borderId="0" xfId="0" applyNumberFormat="1" applyFont="1" applyFill="1" applyBorder="1" applyAlignment="1" applyProtection="1">
      <alignment horizontal="center" wrapText="1"/>
    </xf>
    <xf numFmtId="0" fontId="45" fillId="0" borderId="85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</cellXfs>
  <cellStyles count="27">
    <cellStyle name="Comma" xfId="1" builtinId="3"/>
    <cellStyle name="Comma 2" xfId="3" xr:uid="{00000000-0005-0000-0000-000001000000}"/>
    <cellStyle name="Comma 3" xfId="4" xr:uid="{00000000-0005-0000-0000-000002000000}"/>
    <cellStyle name="Comma 4" xfId="5" xr:uid="{00000000-0005-0000-0000-000003000000}"/>
    <cellStyle name="Comma 5" xfId="6" xr:uid="{00000000-0005-0000-0000-000004000000}"/>
    <cellStyle name="Comma 6" xfId="7" xr:uid="{00000000-0005-0000-0000-000005000000}"/>
    <cellStyle name="Comma 7" xfId="24" xr:uid="{00000000-0005-0000-0000-000006000000}"/>
    <cellStyle name="Currency" xfId="22" builtinId="4"/>
    <cellStyle name="Currency 2" xfId="8" xr:uid="{00000000-0005-0000-0000-000008000000}"/>
    <cellStyle name="Currency 3" xfId="9" xr:uid="{00000000-0005-0000-0000-000009000000}"/>
    <cellStyle name="Hyperlink 2" xfId="10" xr:uid="{00000000-0005-0000-0000-00000B000000}"/>
    <cellStyle name="Hyperlink 3" xfId="25" xr:uid="{00000000-0005-0000-0000-00000C000000}"/>
    <cellStyle name="Monétaire 2" xfId="11" xr:uid="{00000000-0005-0000-0000-00000D000000}"/>
    <cellStyle name="Monétaire 3" xfId="12" xr:uid="{00000000-0005-0000-0000-00000E000000}"/>
    <cellStyle name="Normal" xfId="0" builtinId="0"/>
    <cellStyle name="Normal 2" xfId="13" xr:uid="{00000000-0005-0000-0000-000010000000}"/>
    <cellStyle name="Normal 2 2" xfId="14" xr:uid="{00000000-0005-0000-0000-000011000000}"/>
    <cellStyle name="Normal 2 3" xfId="15" xr:uid="{00000000-0005-0000-0000-000012000000}"/>
    <cellStyle name="Normal 3" xfId="16" xr:uid="{00000000-0005-0000-0000-000013000000}"/>
    <cellStyle name="Normal 4" xfId="17" xr:uid="{00000000-0005-0000-0000-000014000000}"/>
    <cellStyle name="Normal 5" xfId="18" xr:uid="{00000000-0005-0000-0000-000015000000}"/>
    <cellStyle name="Normal 6" xfId="19" xr:uid="{00000000-0005-0000-0000-000016000000}"/>
    <cellStyle name="Normal 7" xfId="20" xr:uid="{00000000-0005-0000-0000-000017000000}"/>
    <cellStyle name="Normal 8" xfId="23" xr:uid="{00000000-0005-0000-0000-000018000000}"/>
    <cellStyle name="Normal 9" xfId="26" xr:uid="{7C511A02-E047-48BB-8793-5F9D405222EF}"/>
    <cellStyle name="Percent" xfId="2" builtinId="5"/>
    <cellStyle name="Percent 2" xfId="21" xr:uid="{00000000-0005-0000-0000-00001A000000}"/>
  </cellStyles>
  <dxfs count="0"/>
  <tableStyles count="0" defaultTableStyle="TableStyleMedium2" defaultPivotStyle="PivotStyleLight16"/>
  <colors>
    <mruColors>
      <color rgb="FFFF00FF"/>
      <color rgb="FFFF33CC"/>
      <color rgb="FFFFFF99"/>
      <color rgb="FF216BFF"/>
      <color rgb="FF0040C0"/>
      <color rgb="FFF6D8F2"/>
      <color rgb="FFFF99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16BFF"/>
    <pageSetUpPr fitToPage="1"/>
  </sheetPr>
  <dimension ref="A1:BF136"/>
  <sheetViews>
    <sheetView tabSelected="1" zoomScaleNormal="118" zoomScaleSheetLayoutView="100" workbookViewId="0">
      <pane xSplit="5" ySplit="6" topLeftCell="P7" activePane="bottomRight" state="frozen"/>
      <selection pane="topRight" activeCell="F1" sqref="F1"/>
      <selection pane="bottomLeft" activeCell="A9" sqref="A9"/>
      <selection pane="bottomRight" activeCell="P103" sqref="P103"/>
    </sheetView>
  </sheetViews>
  <sheetFormatPr defaultColWidth="9.140625" defaultRowHeight="12.75"/>
  <cols>
    <col min="1" max="1" width="56.28515625" style="3" customWidth="1"/>
    <col min="2" max="6" width="16.5703125" style="24" hidden="1" customWidth="1"/>
    <col min="7" max="7" width="20.42578125" style="24" hidden="1" customWidth="1"/>
    <col min="8" max="8" width="16.5703125" style="24" hidden="1" customWidth="1"/>
    <col min="9" max="9" width="18.42578125" style="24" hidden="1" customWidth="1"/>
    <col min="10" max="11" width="16.7109375" style="24" hidden="1" customWidth="1"/>
    <col min="12" max="13" width="16.7109375" style="24" customWidth="1"/>
    <col min="14" max="14" width="16.7109375" style="179" customWidth="1"/>
    <col min="15" max="16" width="16.7109375" style="218" customWidth="1"/>
    <col min="17" max="17" width="16.7109375" style="218" hidden="1" customWidth="1"/>
    <col min="18" max="18" width="16.7109375" style="218" customWidth="1"/>
    <col min="19" max="20" width="14.85546875" style="179" customWidth="1"/>
    <col min="21" max="21" width="12.42578125" style="3" customWidth="1"/>
    <col min="22" max="24" width="9.140625" style="3"/>
    <col min="25" max="25" width="11" style="3" bestFit="1" customWidth="1"/>
    <col min="26" max="26" width="10" style="3" bestFit="1" customWidth="1"/>
    <col min="27" max="27" width="15.85546875" style="3" customWidth="1"/>
    <col min="28" max="28" width="14" style="3" customWidth="1"/>
    <col min="29" max="29" width="9.140625" style="3"/>
    <col min="30" max="30" width="10.140625" style="3" customWidth="1"/>
    <col min="31" max="16384" width="9.140625" style="3"/>
  </cols>
  <sheetData>
    <row r="1" spans="1:30">
      <c r="A1" s="1" t="s">
        <v>0</v>
      </c>
      <c r="B1" s="2"/>
      <c r="C1" s="2"/>
      <c r="D1" s="2"/>
      <c r="E1" s="2"/>
      <c r="F1" s="2"/>
      <c r="G1" s="2"/>
      <c r="H1" s="2"/>
      <c r="I1" s="2"/>
      <c r="J1" s="10"/>
      <c r="K1" s="2"/>
      <c r="L1" s="2"/>
      <c r="M1" s="179" t="s">
        <v>146</v>
      </c>
      <c r="N1" s="195" t="s">
        <v>144</v>
      </c>
      <c r="O1" s="195" t="s">
        <v>145</v>
      </c>
      <c r="P1" s="195"/>
      <c r="Q1" s="195"/>
      <c r="R1" s="195"/>
    </row>
    <row r="2" spans="1:30">
      <c r="A2" s="1" t="s">
        <v>302</v>
      </c>
      <c r="B2" s="2"/>
      <c r="C2" s="2"/>
      <c r="D2" s="2"/>
      <c r="E2" s="2"/>
      <c r="F2" s="2"/>
      <c r="G2" s="2"/>
      <c r="H2" s="2"/>
      <c r="I2" s="2"/>
      <c r="J2" s="140"/>
      <c r="K2" s="2"/>
      <c r="L2" s="140"/>
      <c r="M2" s="146"/>
      <c r="N2" s="180"/>
      <c r="O2" s="196"/>
      <c r="P2" s="196"/>
      <c r="Q2" s="196"/>
      <c r="R2" s="196"/>
      <c r="S2" s="26"/>
      <c r="T2" s="26"/>
      <c r="W2" s="339"/>
    </row>
    <row r="3" spans="1:30">
      <c r="A3" s="1"/>
      <c r="B3" s="2"/>
      <c r="C3" s="2"/>
      <c r="D3" s="2"/>
      <c r="E3" s="2"/>
      <c r="F3" s="2"/>
      <c r="G3" s="2"/>
      <c r="H3" s="2"/>
      <c r="I3" s="2"/>
      <c r="J3" s="140"/>
      <c r="K3" s="2"/>
      <c r="L3" s="140"/>
      <c r="M3" s="146"/>
      <c r="N3" s="180"/>
      <c r="O3" s="196"/>
      <c r="P3" s="196"/>
      <c r="Q3" s="196"/>
      <c r="R3" s="196"/>
    </row>
    <row r="4" spans="1:30" ht="13.5" thickBot="1">
      <c r="A4" s="1"/>
      <c r="B4" s="2"/>
      <c r="C4" s="2"/>
      <c r="D4" s="2"/>
      <c r="E4" s="2"/>
      <c r="F4" s="2"/>
      <c r="G4" s="2"/>
      <c r="H4" s="2"/>
      <c r="I4" s="2"/>
      <c r="J4" s="140"/>
      <c r="K4" s="2"/>
      <c r="L4" s="140"/>
      <c r="M4" s="146"/>
      <c r="N4" s="180"/>
      <c r="O4" s="196"/>
      <c r="P4" s="196"/>
      <c r="Q4" s="196"/>
      <c r="R4" s="196"/>
    </row>
    <row r="5" spans="1:30" ht="13.5" thickBot="1">
      <c r="A5" s="4"/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32" t="s">
        <v>86</v>
      </c>
      <c r="J5" s="32" t="s">
        <v>1</v>
      </c>
      <c r="K5" s="32" t="s">
        <v>86</v>
      </c>
      <c r="L5" s="32" t="s">
        <v>86</v>
      </c>
      <c r="M5" s="32" t="s">
        <v>86</v>
      </c>
      <c r="N5" s="197" t="s">
        <v>86</v>
      </c>
      <c r="O5" s="197" t="s">
        <v>1</v>
      </c>
      <c r="P5" s="197" t="s">
        <v>1</v>
      </c>
      <c r="Q5" s="261" t="s">
        <v>170</v>
      </c>
      <c r="R5" s="258" t="s">
        <v>232</v>
      </c>
      <c r="S5" s="262" t="s">
        <v>168</v>
      </c>
      <c r="T5" s="259" t="s">
        <v>168</v>
      </c>
      <c r="W5" s="134"/>
    </row>
    <row r="6" spans="1:30" ht="13.5" thickBot="1">
      <c r="A6" s="31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5" t="s">
        <v>7</v>
      </c>
      <c r="H6" s="32" t="s">
        <v>8</v>
      </c>
      <c r="I6" s="32" t="s">
        <v>65</v>
      </c>
      <c r="J6" s="32" t="s">
        <v>80</v>
      </c>
      <c r="K6" s="32" t="s">
        <v>87</v>
      </c>
      <c r="L6" s="32" t="s">
        <v>91</v>
      </c>
      <c r="M6" s="32" t="s">
        <v>99</v>
      </c>
      <c r="N6" s="197" t="s">
        <v>116</v>
      </c>
      <c r="O6" s="197" t="s">
        <v>122</v>
      </c>
      <c r="P6" s="197" t="s">
        <v>136</v>
      </c>
      <c r="Q6" s="261" t="s">
        <v>172</v>
      </c>
      <c r="R6" s="258" t="s">
        <v>172</v>
      </c>
      <c r="S6" s="262" t="s">
        <v>231</v>
      </c>
      <c r="T6" s="259" t="s">
        <v>172</v>
      </c>
    </row>
    <row r="7" spans="1:30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81"/>
      <c r="O7" s="198"/>
      <c r="P7" s="198"/>
      <c r="Q7" s="198"/>
      <c r="R7" s="198"/>
      <c r="S7" s="181"/>
      <c r="T7" s="181"/>
    </row>
    <row r="8" spans="1:30" ht="16.5" thickBot="1">
      <c r="A8" s="105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81"/>
      <c r="O8" s="198"/>
      <c r="P8" s="198"/>
      <c r="Q8" s="198"/>
      <c r="R8" s="198"/>
      <c r="S8" s="181"/>
      <c r="T8" s="181"/>
    </row>
    <row r="9" spans="1:30">
      <c r="A9" s="42" t="s">
        <v>10</v>
      </c>
      <c r="B9" s="55"/>
      <c r="C9" s="55"/>
      <c r="D9" s="35"/>
      <c r="E9" s="11"/>
      <c r="F9" s="55"/>
      <c r="G9" s="55"/>
      <c r="H9" s="55"/>
      <c r="I9" s="18"/>
      <c r="J9" s="18"/>
      <c r="K9" s="18"/>
      <c r="L9" s="18"/>
      <c r="M9" s="18"/>
      <c r="N9" s="18"/>
      <c r="O9" s="199"/>
      <c r="P9" s="199"/>
      <c r="Q9" s="199"/>
      <c r="R9" s="199"/>
      <c r="S9" s="18"/>
      <c r="T9" s="18"/>
      <c r="AA9" s="3" t="s">
        <v>296</v>
      </c>
      <c r="AB9" s="3" t="s">
        <v>297</v>
      </c>
    </row>
    <row r="10" spans="1:30">
      <c r="A10" s="43" t="s">
        <v>11</v>
      </c>
      <c r="B10" s="34">
        <v>661788.42000000004</v>
      </c>
      <c r="C10" s="34">
        <v>763199</v>
      </c>
      <c r="D10" s="10">
        <v>604726</v>
      </c>
      <c r="E10" s="12">
        <v>556026</v>
      </c>
      <c r="F10" s="34">
        <v>578403.94999999995</v>
      </c>
      <c r="G10" s="34">
        <v>523445.32</v>
      </c>
      <c r="H10" s="78">
        <v>442383.7</v>
      </c>
      <c r="I10" s="69">
        <v>493871.68</v>
      </c>
      <c r="J10" s="69">
        <f>457645.02-20671</f>
        <v>436974.02</v>
      </c>
      <c r="K10" s="69">
        <f>589500.68-28459.43</f>
        <v>561041.25</v>
      </c>
      <c r="L10" s="69">
        <f>582457.69-37452.46</f>
        <v>545005.23</v>
      </c>
      <c r="M10" s="69">
        <v>421014.82</v>
      </c>
      <c r="N10" s="69">
        <v>911325.82</v>
      </c>
      <c r="O10" s="241">
        <v>643060</v>
      </c>
      <c r="P10" s="241">
        <f>495150-88472.95</f>
        <v>406677.05</v>
      </c>
      <c r="Q10" s="241">
        <v>452157</v>
      </c>
      <c r="R10" s="241">
        <f>497321.2-58119.05</f>
        <v>439202.15</v>
      </c>
      <c r="S10" s="332">
        <v>465000</v>
      </c>
      <c r="T10" s="187">
        <v>550000</v>
      </c>
      <c r="U10" s="135"/>
      <c r="AA10" s="26">
        <f>(R10+P10+O10)/3</f>
        <v>496313.06666666665</v>
      </c>
      <c r="AB10" s="29">
        <f>AA10+(0.05*AA10)</f>
        <v>521128.72</v>
      </c>
    </row>
    <row r="11" spans="1:30">
      <c r="A11" s="43" t="s">
        <v>292</v>
      </c>
      <c r="B11" s="34"/>
      <c r="C11" s="34"/>
      <c r="D11" s="10"/>
      <c r="E11" s="12"/>
      <c r="F11" s="34"/>
      <c r="G11" s="34"/>
      <c r="H11" s="78"/>
      <c r="I11" s="69"/>
      <c r="J11" s="69">
        <v>20671</v>
      </c>
      <c r="K11" s="69">
        <v>28459.43</v>
      </c>
      <c r="L11" s="69">
        <v>37452.46</v>
      </c>
      <c r="M11" s="69">
        <v>53843.25</v>
      </c>
      <c r="N11" s="69">
        <v>120178.18</v>
      </c>
      <c r="O11" s="241">
        <v>39766</v>
      </c>
      <c r="P11" s="241">
        <v>88472.95</v>
      </c>
      <c r="Q11" s="241"/>
      <c r="R11" s="241">
        <f>58119.05+7189</f>
        <v>65308.05</v>
      </c>
      <c r="S11" s="332">
        <v>70000</v>
      </c>
      <c r="T11" s="219" t="s">
        <v>166</v>
      </c>
      <c r="U11" s="343"/>
      <c r="AA11" s="26">
        <f>(R11+P11+O11)/3</f>
        <v>64515.666666666664</v>
      </c>
      <c r="AB11" s="29">
        <f>AA11+(0.05*AA11)</f>
        <v>67741.45</v>
      </c>
    </row>
    <row r="12" spans="1:30">
      <c r="A12" s="43" t="s">
        <v>12</v>
      </c>
      <c r="B12" s="34">
        <v>460889.14</v>
      </c>
      <c r="C12" s="34">
        <v>468953</v>
      </c>
      <c r="D12" s="10">
        <v>435671</v>
      </c>
      <c r="E12" s="12">
        <v>790962</v>
      </c>
      <c r="F12" s="34">
        <v>2374421.52</v>
      </c>
      <c r="G12" s="34">
        <v>536914</v>
      </c>
      <c r="H12" s="78">
        <v>2147976.34</v>
      </c>
      <c r="I12" s="69">
        <v>2970537.53</v>
      </c>
      <c r="J12" s="69">
        <f>96444.48+2000000+400000+20000</f>
        <v>2516444.48</v>
      </c>
      <c r="K12" s="69">
        <v>101950.38</v>
      </c>
      <c r="L12" s="69">
        <v>74220</v>
      </c>
      <c r="M12" s="69">
        <v>118512.42</v>
      </c>
      <c r="N12" s="69">
        <f>39427</f>
        <v>39427</v>
      </c>
      <c r="O12" s="241">
        <v>47358</v>
      </c>
      <c r="P12" s="241">
        <v>182288</v>
      </c>
      <c r="Q12" s="241">
        <v>327538.64</v>
      </c>
      <c r="R12" s="241">
        <f>380093.15-7189</f>
        <v>372904.15</v>
      </c>
      <c r="S12" s="332">
        <v>350000</v>
      </c>
      <c r="T12" s="187">
        <v>70000</v>
      </c>
      <c r="U12" s="135"/>
      <c r="AA12" s="26">
        <f>(R12+P12+M12)/3</f>
        <v>224568.19000000003</v>
      </c>
      <c r="AB12" s="29">
        <f>AA12+(0.05*AA12)</f>
        <v>235796.59950000004</v>
      </c>
      <c r="AD12" s="3" t="s">
        <v>298</v>
      </c>
    </row>
    <row r="13" spans="1:30">
      <c r="A13" s="43" t="s">
        <v>13</v>
      </c>
      <c r="B13" s="34">
        <v>30581</v>
      </c>
      <c r="C13" s="34">
        <v>30581</v>
      </c>
      <c r="D13" s="10">
        <v>30882</v>
      </c>
      <c r="E13" s="12">
        <v>39425</v>
      </c>
      <c r="F13" s="34">
        <v>31456</v>
      </c>
      <c r="G13" s="34">
        <v>38500</v>
      </c>
      <c r="H13" s="34">
        <v>38290</v>
      </c>
      <c r="I13" s="69">
        <v>40793</v>
      </c>
      <c r="J13" s="69">
        <v>40348</v>
      </c>
      <c r="K13" s="69">
        <v>33450</v>
      </c>
      <c r="L13" s="69">
        <v>32700</v>
      </c>
      <c r="M13" s="69">
        <v>41900</v>
      </c>
      <c r="N13" s="69">
        <v>46000</v>
      </c>
      <c r="O13" s="241">
        <v>43650</v>
      </c>
      <c r="P13" s="241">
        <v>43450</v>
      </c>
      <c r="Q13" s="241"/>
      <c r="R13" s="241">
        <v>35000</v>
      </c>
      <c r="S13" s="333">
        <v>42500</v>
      </c>
      <c r="T13" s="69">
        <v>41450</v>
      </c>
      <c r="U13" s="321" t="s">
        <v>299</v>
      </c>
    </row>
    <row r="14" spans="1:30">
      <c r="A14" s="43" t="s">
        <v>101</v>
      </c>
      <c r="B14" s="34"/>
      <c r="C14" s="34"/>
      <c r="D14" s="10"/>
      <c r="E14" s="12"/>
      <c r="F14" s="34"/>
      <c r="G14" s="34"/>
      <c r="H14" s="34"/>
      <c r="I14" s="69"/>
      <c r="J14" s="69"/>
      <c r="K14" s="69"/>
      <c r="L14" s="69"/>
      <c r="M14" s="69">
        <v>6666.67</v>
      </c>
      <c r="N14" s="69"/>
      <c r="O14" s="241"/>
      <c r="P14" s="241"/>
      <c r="Q14" s="241"/>
      <c r="R14" s="241"/>
      <c r="S14" s="188"/>
      <c r="T14" s="188">
        <v>0</v>
      </c>
      <c r="U14" s="134"/>
    </row>
    <row r="15" spans="1:30">
      <c r="A15" s="43" t="s">
        <v>14</v>
      </c>
      <c r="B15" s="34">
        <v>73585.2</v>
      </c>
      <c r="C15" s="34">
        <v>118312</v>
      </c>
      <c r="D15" s="10">
        <v>55816</v>
      </c>
      <c r="E15" s="12">
        <v>96274</v>
      </c>
      <c r="F15" s="34">
        <f t="shared" ref="F15" si="0">27860.9+105581.96</f>
        <v>133442.86000000002</v>
      </c>
      <c r="G15" s="34">
        <f>21880.5+6000</f>
        <v>27880.5</v>
      </c>
      <c r="H15" s="34">
        <f>23121.29+398182.23</f>
        <v>421303.51999999996</v>
      </c>
      <c r="I15" s="68">
        <f>24887+35349.72</f>
        <v>60236.72</v>
      </c>
      <c r="J15" s="68">
        <f>23977.77+10500</f>
        <v>34477.770000000004</v>
      </c>
      <c r="K15" s="68">
        <f>35653.56+61700</f>
        <v>97353.56</v>
      </c>
      <c r="L15" s="69">
        <f>27521.35+143857.06</f>
        <v>171378.41</v>
      </c>
      <c r="M15" s="69">
        <f>22304+86170</f>
        <v>108474</v>
      </c>
      <c r="N15" s="69">
        <f>23796.39+25775</f>
        <v>49571.39</v>
      </c>
      <c r="O15" s="241">
        <f>29720.14+116457.55</f>
        <v>146177.69</v>
      </c>
      <c r="P15" s="241">
        <v>157449</v>
      </c>
      <c r="Q15" s="241">
        <f>22709.04+398405.38</f>
        <v>421114.42</v>
      </c>
      <c r="R15" s="241">
        <f>28374.34+426536.15</f>
        <v>454910.49000000005</v>
      </c>
      <c r="S15" s="333">
        <v>265000</v>
      </c>
      <c r="T15" s="187">
        <v>140000</v>
      </c>
      <c r="U15" s="134"/>
      <c r="W15" s="134"/>
      <c r="AA15" s="26">
        <f>(R15+P15+O15)/3</f>
        <v>252845.72666666665</v>
      </c>
      <c r="AB15" s="29">
        <f>AA15+(0.05*AA15)</f>
        <v>265488.01299999998</v>
      </c>
    </row>
    <row r="16" spans="1:30">
      <c r="A16" s="43" t="s">
        <v>134</v>
      </c>
      <c r="B16" s="34"/>
      <c r="C16" s="34"/>
      <c r="D16" s="10"/>
      <c r="E16" s="12"/>
      <c r="F16" s="34"/>
      <c r="G16" s="34"/>
      <c r="H16" s="34"/>
      <c r="I16" s="68"/>
      <c r="J16" s="68"/>
      <c r="K16" s="68"/>
      <c r="L16" s="69"/>
      <c r="M16" s="69"/>
      <c r="N16" s="69"/>
      <c r="O16" s="241">
        <v>106559</v>
      </c>
      <c r="P16" s="241">
        <v>43755</v>
      </c>
      <c r="Q16" s="241">
        <v>193947.5</v>
      </c>
      <c r="R16" s="241">
        <v>55997.5</v>
      </c>
      <c r="S16" s="333">
        <v>65000</v>
      </c>
      <c r="T16" s="187">
        <v>75000</v>
      </c>
      <c r="U16" s="134"/>
      <c r="W16" s="134"/>
      <c r="AA16" s="26">
        <f>(R16+P16+O16)/3</f>
        <v>68770.5</v>
      </c>
      <c r="AB16" s="29">
        <f>AA16+(0.05*AA16)</f>
        <v>72209.024999999994</v>
      </c>
    </row>
    <row r="17" spans="1:27">
      <c r="A17" s="43" t="s">
        <v>216</v>
      </c>
      <c r="B17" s="34">
        <v>123100</v>
      </c>
      <c r="C17" s="34">
        <v>6100</v>
      </c>
      <c r="D17" s="10"/>
      <c r="E17" s="12"/>
      <c r="F17" s="34"/>
      <c r="G17" s="34">
        <v>0</v>
      </c>
      <c r="H17" s="34"/>
      <c r="I17" s="69"/>
      <c r="J17" s="69">
        <f>102326.9+839985+7500</f>
        <v>949811.9</v>
      </c>
      <c r="K17" s="69">
        <f>385214.09+699985+561000+215000</f>
        <v>1861199.09</v>
      </c>
      <c r="L17" s="69">
        <f>383425.01+21666.67</f>
        <v>405091.68</v>
      </c>
      <c r="M17" s="69">
        <v>79000</v>
      </c>
      <c r="N17" s="69">
        <f>274000</f>
        <v>274000</v>
      </c>
      <c r="O17" s="241">
        <v>2274000</v>
      </c>
      <c r="P17" s="241">
        <v>162000</v>
      </c>
      <c r="Q17" s="241">
        <v>11100</v>
      </c>
      <c r="R17" s="241">
        <v>11100</v>
      </c>
      <c r="S17" s="320">
        <f>'20-4100 CC'!I46</f>
        <v>10000</v>
      </c>
      <c r="T17" s="187">
        <v>210000</v>
      </c>
      <c r="U17" s="321" t="s">
        <v>301</v>
      </c>
      <c r="V17" s="321"/>
      <c r="W17" s="321"/>
      <c r="X17" s="321"/>
    </row>
    <row r="18" spans="1:27">
      <c r="A18" s="79" t="s">
        <v>15</v>
      </c>
      <c r="B18" s="80">
        <f t="shared" ref="B18:O18" si="1">SUM(B10:B17)</f>
        <v>1349943.76</v>
      </c>
      <c r="C18" s="80">
        <f t="shared" si="1"/>
        <v>1387145</v>
      </c>
      <c r="D18" s="81">
        <f t="shared" si="1"/>
        <v>1127095</v>
      </c>
      <c r="E18" s="82">
        <f t="shared" si="1"/>
        <v>1482687</v>
      </c>
      <c r="F18" s="80">
        <f t="shared" si="1"/>
        <v>3117724.3299999996</v>
      </c>
      <c r="G18" s="80">
        <f t="shared" si="1"/>
        <v>1126739.82</v>
      </c>
      <c r="H18" s="80">
        <f t="shared" si="1"/>
        <v>3049953.56</v>
      </c>
      <c r="I18" s="80">
        <f t="shared" si="1"/>
        <v>3565438.93</v>
      </c>
      <c r="J18" s="81">
        <f t="shared" si="1"/>
        <v>3998727.17</v>
      </c>
      <c r="K18" s="200">
        <f t="shared" si="1"/>
        <v>2683453.71</v>
      </c>
      <c r="L18" s="200">
        <f t="shared" si="1"/>
        <v>1265847.78</v>
      </c>
      <c r="M18" s="200">
        <f t="shared" si="1"/>
        <v>829411.16</v>
      </c>
      <c r="N18" s="200">
        <f t="shared" si="1"/>
        <v>1440502.39</v>
      </c>
      <c r="O18" s="200">
        <f t="shared" si="1"/>
        <v>3300570.69</v>
      </c>
      <c r="P18" s="200">
        <f t="shared" ref="P18:Q18" si="2">SUM(P10:P17)</f>
        <v>1084092</v>
      </c>
      <c r="Q18" s="200">
        <f t="shared" si="2"/>
        <v>1405857.56</v>
      </c>
      <c r="R18" s="200">
        <f>SUM(R10:R17)</f>
        <v>1434422.34</v>
      </c>
      <c r="S18" s="200">
        <f>SUM(S10:S17)</f>
        <v>1267500</v>
      </c>
      <c r="T18" s="200">
        <f t="shared" ref="T18" si="3">SUM(T10:T17)</f>
        <v>1086450</v>
      </c>
      <c r="U18" s="30"/>
    </row>
    <row r="19" spans="1:27" ht="13.5" thickBo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01"/>
      <c r="P19" s="201"/>
      <c r="Q19" s="201"/>
      <c r="R19" s="201"/>
      <c r="S19" s="10"/>
      <c r="T19" s="10"/>
    </row>
    <row r="20" spans="1:27">
      <c r="A20" s="44" t="s">
        <v>16</v>
      </c>
      <c r="B20" s="56"/>
      <c r="C20" s="56"/>
      <c r="D20" s="36"/>
      <c r="E20" s="13"/>
      <c r="F20" s="56"/>
      <c r="G20" s="56"/>
      <c r="H20" s="56"/>
      <c r="I20" s="70"/>
      <c r="J20" s="70"/>
      <c r="K20" s="70"/>
      <c r="L20" s="70"/>
      <c r="N20" s="70"/>
      <c r="O20" s="202"/>
      <c r="P20" s="202"/>
      <c r="Q20" s="202"/>
      <c r="R20" s="202"/>
      <c r="S20" s="70"/>
      <c r="T20" s="70"/>
      <c r="U20" s="29"/>
      <c r="V20" s="10"/>
      <c r="AA20" s="26"/>
    </row>
    <row r="21" spans="1:27">
      <c r="A21" s="133" t="s">
        <v>131</v>
      </c>
      <c r="B21" s="34"/>
      <c r="C21" s="34"/>
      <c r="D21" s="10"/>
      <c r="E21" s="12"/>
      <c r="F21" s="34"/>
      <c r="G21" s="34"/>
      <c r="H21" s="34"/>
      <c r="I21" s="71">
        <v>11993.63</v>
      </c>
      <c r="J21" s="71">
        <f>14612</f>
        <v>14612</v>
      </c>
      <c r="K21" s="71"/>
      <c r="L21" s="71"/>
      <c r="M21" s="71"/>
      <c r="N21" s="71"/>
      <c r="O21" s="203"/>
      <c r="P21" s="203"/>
      <c r="Q21" s="203"/>
      <c r="R21" s="203"/>
      <c r="S21" s="71"/>
      <c r="T21" s="71"/>
      <c r="AA21" s="26"/>
    </row>
    <row r="22" spans="1:27">
      <c r="A22" s="45" t="s">
        <v>17</v>
      </c>
      <c r="B22" s="34"/>
      <c r="C22" s="34"/>
      <c r="D22" s="10">
        <v>61300</v>
      </c>
      <c r="E22" s="12">
        <v>53400</v>
      </c>
      <c r="F22" s="34">
        <v>75630</v>
      </c>
      <c r="G22" s="34">
        <v>61795</v>
      </c>
      <c r="H22" s="34">
        <v>43468</v>
      </c>
      <c r="I22" s="71">
        <f>42604+6091</f>
        <v>48695</v>
      </c>
      <c r="J22" s="71">
        <v>45362</v>
      </c>
      <c r="K22" s="71">
        <f>50120+9350</f>
        <v>59470</v>
      </c>
      <c r="L22" s="145" t="s">
        <v>113</v>
      </c>
      <c r="M22" s="71">
        <v>61100</v>
      </c>
      <c r="N22" s="71">
        <v>25770</v>
      </c>
      <c r="O22" s="242"/>
      <c r="P22" s="242"/>
      <c r="Q22" s="242"/>
      <c r="R22" s="242"/>
      <c r="S22" s="71"/>
      <c r="T22" s="71"/>
    </row>
    <row r="23" spans="1:27">
      <c r="A23" s="133" t="s">
        <v>107</v>
      </c>
      <c r="B23" s="34">
        <v>25671.55</v>
      </c>
      <c r="C23" s="34">
        <v>22867</v>
      </c>
      <c r="D23" s="10">
        <v>34630</v>
      </c>
      <c r="E23" s="12">
        <v>37096</v>
      </c>
      <c r="F23" s="34">
        <v>38225.46</v>
      </c>
      <c r="G23" s="34">
        <v>31165.25</v>
      </c>
      <c r="H23" s="34">
        <v>34288.06</v>
      </c>
      <c r="I23" s="71">
        <v>32027.74</v>
      </c>
      <c r="J23" s="71">
        <v>30827.89</v>
      </c>
      <c r="K23" s="71">
        <f>25746.76+1105</f>
        <v>26851.759999999998</v>
      </c>
      <c r="L23" s="145" t="s">
        <v>114</v>
      </c>
      <c r="M23" s="145"/>
      <c r="N23" s="145"/>
      <c r="O23" s="243"/>
      <c r="P23" s="243"/>
      <c r="Q23" s="242">
        <v>25166</v>
      </c>
      <c r="R23" s="242">
        <v>25165.95</v>
      </c>
      <c r="S23" s="322">
        <v>30000</v>
      </c>
      <c r="T23" s="71"/>
      <c r="U23" s="321"/>
    </row>
    <row r="24" spans="1:27">
      <c r="A24" s="45" t="s">
        <v>18</v>
      </c>
      <c r="B24" s="34">
        <v>269580</v>
      </c>
      <c r="C24" s="34">
        <v>268920</v>
      </c>
      <c r="D24" s="10">
        <v>507325</v>
      </c>
      <c r="E24" s="12">
        <v>372610</v>
      </c>
      <c r="F24" s="34">
        <v>405070</v>
      </c>
      <c r="G24" s="34">
        <v>449500</v>
      </c>
      <c r="H24" s="34">
        <v>366335</v>
      </c>
      <c r="I24" s="71">
        <f>393115+10700</f>
        <v>403815</v>
      </c>
      <c r="J24" s="71">
        <f>360840</f>
        <v>360840</v>
      </c>
      <c r="K24" s="71">
        <f>333545+91900</f>
        <v>425445</v>
      </c>
      <c r="L24" s="71">
        <v>301824.21999999997</v>
      </c>
      <c r="M24" s="71">
        <f>457859+18220</f>
        <v>476079</v>
      </c>
      <c r="N24" s="71">
        <v>125471.17</v>
      </c>
      <c r="O24" s="242">
        <v>10585</v>
      </c>
      <c r="P24" s="242">
        <v>500870</v>
      </c>
      <c r="Q24" s="242">
        <v>480453.14</v>
      </c>
      <c r="R24" s="242">
        <v>632653</v>
      </c>
      <c r="S24" s="322">
        <v>800000</v>
      </c>
      <c r="T24" s="71">
        <v>600000</v>
      </c>
      <c r="U24" s="321"/>
      <c r="AA24" s="242"/>
    </row>
    <row r="25" spans="1:27">
      <c r="A25" s="45" t="s">
        <v>19</v>
      </c>
      <c r="B25" s="34">
        <v>76603.56</v>
      </c>
      <c r="C25" s="34">
        <v>78126</v>
      </c>
      <c r="D25" s="10">
        <v>168755</v>
      </c>
      <c r="E25" s="12">
        <v>99712</v>
      </c>
      <c r="F25" s="34">
        <v>88343</v>
      </c>
      <c r="G25" s="34">
        <v>70786.240000000005</v>
      </c>
      <c r="H25" s="34">
        <v>58864.2</v>
      </c>
      <c r="I25" s="71">
        <f>60383.1</f>
        <v>60383.1</v>
      </c>
      <c r="J25" s="71">
        <f>52034.74</f>
        <v>52034.74</v>
      </c>
      <c r="K25" s="71">
        <v>31000.99</v>
      </c>
      <c r="L25" s="71">
        <v>24662.46</v>
      </c>
      <c r="M25" s="145"/>
      <c r="N25" s="145"/>
      <c r="O25" s="243"/>
      <c r="P25" s="243"/>
      <c r="Q25" s="243"/>
      <c r="R25" s="242"/>
      <c r="S25" s="322"/>
      <c r="T25" s="71"/>
      <c r="X25" s="10"/>
    </row>
    <row r="26" spans="1:27">
      <c r="A26" s="45" t="s">
        <v>79</v>
      </c>
      <c r="B26" s="34">
        <v>125231</v>
      </c>
      <c r="C26" s="34">
        <v>97437</v>
      </c>
      <c r="D26" s="10">
        <v>79762</v>
      </c>
      <c r="E26" s="12">
        <v>59640</v>
      </c>
      <c r="F26" s="34">
        <v>65425</v>
      </c>
      <c r="G26" s="34">
        <v>80150</v>
      </c>
      <c r="H26" s="34">
        <v>85320</v>
      </c>
      <c r="I26" s="71">
        <f>76735+1000</f>
        <v>77735</v>
      </c>
      <c r="J26" s="71">
        <f>126035</f>
        <v>126035</v>
      </c>
      <c r="K26" s="71">
        <f>157643+300</f>
        <v>157943</v>
      </c>
      <c r="L26" s="71">
        <v>209215</v>
      </c>
      <c r="M26" s="71">
        <f>150412+2520</f>
        <v>152932</v>
      </c>
      <c r="N26" s="71">
        <v>24960</v>
      </c>
      <c r="O26" s="242">
        <v>202435.03</v>
      </c>
      <c r="P26" s="242">
        <v>245695</v>
      </c>
      <c r="Q26" s="242">
        <v>321694.01</v>
      </c>
      <c r="R26" s="242">
        <v>340444.01</v>
      </c>
      <c r="S26" s="322">
        <v>400000</v>
      </c>
      <c r="T26" s="71">
        <v>300000</v>
      </c>
      <c r="U26" s="321"/>
      <c r="AA26" s="242"/>
    </row>
    <row r="27" spans="1:27">
      <c r="A27" s="133" t="s">
        <v>147</v>
      </c>
      <c r="B27" s="34"/>
      <c r="C27" s="34"/>
      <c r="D27" s="10"/>
      <c r="E27" s="12"/>
      <c r="F27" s="34"/>
      <c r="G27" s="34"/>
      <c r="H27" s="34"/>
      <c r="I27" s="71"/>
      <c r="J27" s="71"/>
      <c r="K27" s="145" t="s">
        <v>90</v>
      </c>
      <c r="L27" s="145" t="s">
        <v>90</v>
      </c>
      <c r="M27" s="71">
        <v>57005</v>
      </c>
      <c r="N27" s="71"/>
      <c r="O27" s="242"/>
      <c r="P27" s="242"/>
      <c r="Q27" s="242">
        <v>115305.01</v>
      </c>
      <c r="R27" s="242">
        <v>115305</v>
      </c>
      <c r="S27" s="322">
        <v>120000</v>
      </c>
      <c r="T27" s="71">
        <v>55000</v>
      </c>
      <c r="U27" s="321"/>
      <c r="V27" s="321"/>
      <c r="AA27" s="242"/>
    </row>
    <row r="28" spans="1:27">
      <c r="A28" s="133" t="s">
        <v>304</v>
      </c>
      <c r="B28" s="34"/>
      <c r="C28" s="34"/>
      <c r="D28" s="10"/>
      <c r="E28" s="12"/>
      <c r="F28" s="34"/>
      <c r="G28" s="34"/>
      <c r="H28" s="34"/>
      <c r="I28" s="71"/>
      <c r="J28" s="71"/>
      <c r="K28" s="71">
        <v>8390.33</v>
      </c>
      <c r="L28" s="71">
        <v>13855.39</v>
      </c>
      <c r="M28" s="71">
        <v>5711</v>
      </c>
      <c r="N28" s="71"/>
      <c r="O28" s="242"/>
      <c r="P28" s="242"/>
      <c r="Q28" s="242"/>
      <c r="R28" s="242"/>
      <c r="S28" s="322"/>
      <c r="T28" s="71"/>
    </row>
    <row r="29" spans="1:27">
      <c r="A29" s="133" t="s">
        <v>102</v>
      </c>
      <c r="B29" s="34"/>
      <c r="C29" s="34"/>
      <c r="D29" s="10"/>
      <c r="E29" s="12"/>
      <c r="F29" s="34"/>
      <c r="G29" s="34"/>
      <c r="H29" s="34"/>
      <c r="I29" s="71"/>
      <c r="J29" s="71"/>
      <c r="K29" s="71"/>
      <c r="L29" s="71"/>
      <c r="M29" s="71">
        <f>41009.5</f>
        <v>41009.5</v>
      </c>
      <c r="N29" s="71">
        <v>32780</v>
      </c>
      <c r="O29" s="242">
        <v>30934.45</v>
      </c>
      <c r="P29" s="242"/>
      <c r="Q29" s="242"/>
      <c r="R29" s="242"/>
      <c r="S29" s="322"/>
      <c r="T29" s="71"/>
    </row>
    <row r="30" spans="1:27">
      <c r="A30" s="133" t="s">
        <v>130</v>
      </c>
      <c r="B30" s="34"/>
      <c r="C30" s="34"/>
      <c r="D30" s="10"/>
      <c r="E30" s="12"/>
      <c r="F30" s="34"/>
      <c r="G30" s="34"/>
      <c r="H30" s="34"/>
      <c r="I30" s="71"/>
      <c r="J30" s="71"/>
      <c r="K30" s="71"/>
      <c r="L30" s="71"/>
      <c r="M30" s="71"/>
      <c r="N30" s="71"/>
      <c r="O30" s="242"/>
      <c r="P30" s="242"/>
      <c r="Q30" s="242"/>
      <c r="R30" s="242"/>
      <c r="S30" s="322"/>
      <c r="T30" s="71"/>
    </row>
    <row r="31" spans="1:27">
      <c r="A31" s="133" t="s">
        <v>121</v>
      </c>
      <c r="B31" s="34"/>
      <c r="C31" s="34"/>
      <c r="D31" s="10"/>
      <c r="E31" s="12"/>
      <c r="F31" s="34"/>
      <c r="G31" s="34"/>
      <c r="H31" s="34"/>
      <c r="I31" s="71"/>
      <c r="J31" s="71"/>
      <c r="K31" s="71"/>
      <c r="L31" s="71"/>
      <c r="M31" s="71"/>
      <c r="N31" s="71"/>
      <c r="O31" s="242">
        <v>10040</v>
      </c>
      <c r="P31" s="242"/>
      <c r="Q31" s="242"/>
      <c r="R31" s="242"/>
      <c r="S31" s="322"/>
      <c r="T31" s="71"/>
    </row>
    <row r="32" spans="1:27">
      <c r="A32" s="133" t="s">
        <v>160</v>
      </c>
      <c r="B32" s="34"/>
      <c r="C32" s="34"/>
      <c r="D32" s="10"/>
      <c r="E32" s="12"/>
      <c r="F32" s="34"/>
      <c r="G32" s="34"/>
      <c r="H32" s="34"/>
      <c r="I32" s="71"/>
      <c r="J32" s="71"/>
      <c r="K32" s="71"/>
      <c r="L32" s="71"/>
      <c r="M32" s="71"/>
      <c r="N32" s="71"/>
      <c r="O32" s="242"/>
      <c r="P32" s="242">
        <v>42242</v>
      </c>
      <c r="Q32" s="242">
        <v>102917.36</v>
      </c>
      <c r="R32" s="242">
        <v>105371.3</v>
      </c>
      <c r="S32" s="322">
        <v>130000</v>
      </c>
      <c r="T32" s="71">
        <v>80000</v>
      </c>
      <c r="U32" s="321"/>
      <c r="AA32" s="242"/>
    </row>
    <row r="33" spans="1:27">
      <c r="A33" s="133" t="s">
        <v>161</v>
      </c>
      <c r="B33" s="34"/>
      <c r="C33" s="34"/>
      <c r="D33" s="10"/>
      <c r="E33" s="12"/>
      <c r="F33" s="34"/>
      <c r="G33" s="34"/>
      <c r="H33" s="34"/>
      <c r="I33" s="71"/>
      <c r="J33" s="71"/>
      <c r="K33" s="71"/>
      <c r="L33" s="71"/>
      <c r="M33" s="71"/>
      <c r="N33" s="71"/>
      <c r="O33" s="242"/>
      <c r="P33" s="242">
        <v>20493</v>
      </c>
      <c r="Q33" s="242">
        <v>8972.01</v>
      </c>
      <c r="R33" s="242">
        <v>13132</v>
      </c>
      <c r="S33" s="322">
        <v>10000</v>
      </c>
      <c r="T33" s="71">
        <v>20000</v>
      </c>
      <c r="U33" s="321"/>
      <c r="AA33" s="242"/>
    </row>
    <row r="34" spans="1:27">
      <c r="A34" s="133" t="s">
        <v>169</v>
      </c>
      <c r="B34" s="34"/>
      <c r="C34" s="34"/>
      <c r="D34" s="10"/>
      <c r="E34" s="12"/>
      <c r="F34" s="34"/>
      <c r="G34" s="34"/>
      <c r="H34" s="34"/>
      <c r="I34" s="71"/>
      <c r="J34" s="71"/>
      <c r="K34" s="71"/>
      <c r="L34" s="71"/>
      <c r="M34" s="71"/>
      <c r="N34" s="71"/>
      <c r="O34" s="242">
        <v>25324.61</v>
      </c>
      <c r="P34" s="242"/>
      <c r="Q34" s="242"/>
      <c r="R34" s="242"/>
      <c r="S34" s="322"/>
      <c r="T34" s="71"/>
    </row>
    <row r="35" spans="1:27">
      <c r="A35" s="133" t="s">
        <v>148</v>
      </c>
      <c r="B35" s="34">
        <v>63141</v>
      </c>
      <c r="C35" s="34">
        <v>33356</v>
      </c>
      <c r="D35" s="10">
        <v>108661</v>
      </c>
      <c r="E35" s="12">
        <v>73725</v>
      </c>
      <c r="F35" s="34">
        <v>146735</v>
      </c>
      <c r="G35" s="34">
        <v>47856</v>
      </c>
      <c r="H35" s="34">
        <v>5600</v>
      </c>
      <c r="I35" s="71">
        <f>2805-2955</f>
        <v>-150</v>
      </c>
      <c r="J35" s="71">
        <f>9550+2745</f>
        <v>12295</v>
      </c>
      <c r="K35" s="71"/>
      <c r="L35" s="71">
        <v>148940</v>
      </c>
      <c r="M35" s="71"/>
      <c r="N35" s="71">
        <f>4990+10170</f>
        <v>15160</v>
      </c>
      <c r="O35" s="242">
        <f>6683.83-28233.83</f>
        <v>-21550</v>
      </c>
      <c r="P35" s="242"/>
      <c r="Q35" s="242"/>
      <c r="R35" s="242"/>
      <c r="S35" s="71"/>
      <c r="T35" s="71"/>
    </row>
    <row r="36" spans="1:27" ht="13.5" thickBot="1">
      <c r="A36" s="45" t="s">
        <v>20</v>
      </c>
      <c r="B36" s="57"/>
      <c r="C36" s="57">
        <v>-3187</v>
      </c>
      <c r="D36" s="37"/>
      <c r="E36" s="14">
        <v>25441</v>
      </c>
      <c r="F36" s="57">
        <v>611</v>
      </c>
      <c r="G36" s="57">
        <f>24910+4600</f>
        <v>29510</v>
      </c>
      <c r="H36" s="57">
        <f>13380-17975</f>
        <v>-4595</v>
      </c>
      <c r="I36" s="71"/>
      <c r="J36" s="72">
        <v>87935</v>
      </c>
      <c r="K36" s="72">
        <f>32225-32725</f>
        <v>-500</v>
      </c>
      <c r="L36" s="72">
        <v>-70189</v>
      </c>
      <c r="M36" s="72"/>
      <c r="N36" s="72">
        <v>22033.83</v>
      </c>
      <c r="O36" s="244"/>
      <c r="P36" s="244"/>
      <c r="Q36" s="244"/>
      <c r="R36" s="242"/>
      <c r="S36" s="71"/>
      <c r="T36" s="71"/>
    </row>
    <row r="37" spans="1:27" s="7" customFormat="1">
      <c r="A37" s="83" t="s">
        <v>21</v>
      </c>
      <c r="B37" s="84">
        <f t="shared" ref="B37:O37" si="4">SUM(B20:B36)</f>
        <v>560227.11</v>
      </c>
      <c r="C37" s="84">
        <f t="shared" si="4"/>
        <v>497519</v>
      </c>
      <c r="D37" s="85">
        <f t="shared" si="4"/>
        <v>960433</v>
      </c>
      <c r="E37" s="86">
        <f t="shared" si="4"/>
        <v>721624</v>
      </c>
      <c r="F37" s="84">
        <f t="shared" si="4"/>
        <v>820039.46</v>
      </c>
      <c r="G37" s="84">
        <f t="shared" si="4"/>
        <v>770762.49</v>
      </c>
      <c r="H37" s="86">
        <f t="shared" si="4"/>
        <v>589280.26</v>
      </c>
      <c r="I37" s="147">
        <f t="shared" si="4"/>
        <v>634499.47</v>
      </c>
      <c r="J37" s="85">
        <f t="shared" si="4"/>
        <v>729941.63</v>
      </c>
      <c r="K37" s="204">
        <f t="shared" si="4"/>
        <v>708601.08</v>
      </c>
      <c r="L37" s="204">
        <f t="shared" si="4"/>
        <v>628308.06999999995</v>
      </c>
      <c r="M37" s="204">
        <f t="shared" si="4"/>
        <v>793836.5</v>
      </c>
      <c r="N37" s="204">
        <f t="shared" si="4"/>
        <v>246175</v>
      </c>
      <c r="O37" s="204">
        <f t="shared" si="4"/>
        <v>257769.09000000003</v>
      </c>
      <c r="P37" s="204">
        <f t="shared" ref="P37:R37" si="5">SUM(P20:P36)</f>
        <v>809300</v>
      </c>
      <c r="Q37" s="204">
        <f t="shared" si="5"/>
        <v>1054507.53</v>
      </c>
      <c r="R37" s="204">
        <f t="shared" si="5"/>
        <v>1232071.26</v>
      </c>
      <c r="S37" s="204">
        <f t="shared" ref="S37" si="6">SUM(S20:S36)</f>
        <v>1490000</v>
      </c>
      <c r="T37" s="204">
        <f t="shared" ref="T37" si="7">SUM(T20:T36)</f>
        <v>1055000</v>
      </c>
      <c r="U37" s="321" t="s">
        <v>303</v>
      </c>
    </row>
    <row r="38" spans="1:27" s="7" customFormat="1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05"/>
      <c r="P38" s="205"/>
      <c r="Q38" s="205"/>
      <c r="R38" s="205"/>
      <c r="S38" s="38"/>
      <c r="T38" s="38"/>
    </row>
    <row r="39" spans="1:27">
      <c r="A39" s="114" t="s">
        <v>22</v>
      </c>
      <c r="B39" s="115">
        <v>9150</v>
      </c>
      <c r="C39" s="115"/>
      <c r="D39" s="116"/>
      <c r="E39" s="117">
        <v>1840</v>
      </c>
      <c r="F39" s="115">
        <v>1635.32</v>
      </c>
      <c r="G39" s="115">
        <v>3039.29</v>
      </c>
      <c r="H39" s="115">
        <v>2382.2800000000002</v>
      </c>
      <c r="I39" s="151">
        <v>4406.2700000000004</v>
      </c>
      <c r="J39" s="118"/>
      <c r="K39" s="118">
        <v>2164.17</v>
      </c>
      <c r="L39" s="118">
        <v>-312.26</v>
      </c>
      <c r="M39" s="118">
        <v>330.49</v>
      </c>
      <c r="N39" s="118">
        <v>66365.02</v>
      </c>
      <c r="O39" s="245">
        <v>307.18</v>
      </c>
      <c r="P39" s="245">
        <v>227.1</v>
      </c>
      <c r="Q39" s="245"/>
      <c r="R39" s="245"/>
      <c r="S39" s="118"/>
      <c r="T39" s="118"/>
    </row>
    <row r="40" spans="1:27">
      <c r="A40" s="119" t="s">
        <v>23</v>
      </c>
      <c r="B40" s="34">
        <v>15012.59</v>
      </c>
      <c r="C40" s="34">
        <v>7496</v>
      </c>
      <c r="D40" s="10">
        <v>11910</v>
      </c>
      <c r="E40" s="12">
        <v>8992</v>
      </c>
      <c r="F40" s="34">
        <v>7660.27</v>
      </c>
      <c r="G40" s="34">
        <v>6337.77</v>
      </c>
      <c r="H40" s="34">
        <v>7386.23</v>
      </c>
      <c r="I40" s="126">
        <v>933.23</v>
      </c>
      <c r="J40" s="126">
        <v>10409.530000000001</v>
      </c>
      <c r="K40" s="120">
        <v>6323.83</v>
      </c>
      <c r="L40" s="120">
        <v>7387.44</v>
      </c>
      <c r="M40" s="120">
        <v>7239.2</v>
      </c>
      <c r="N40" s="120">
        <v>3907.77</v>
      </c>
      <c r="O40" s="246">
        <v>4587.7299999999996</v>
      </c>
      <c r="P40" s="246">
        <v>5740.52</v>
      </c>
      <c r="Q40" s="246"/>
      <c r="R40" s="246"/>
      <c r="S40" s="126"/>
      <c r="T40" s="126"/>
      <c r="U40" s="321"/>
    </row>
    <row r="41" spans="1:27">
      <c r="A41" s="137" t="s">
        <v>230</v>
      </c>
      <c r="B41" s="34"/>
      <c r="C41" s="34"/>
      <c r="D41" s="10"/>
      <c r="E41" s="12"/>
      <c r="F41" s="34"/>
      <c r="G41" s="34"/>
      <c r="H41" s="34"/>
      <c r="I41" s="126"/>
      <c r="J41" s="126"/>
      <c r="K41" s="120"/>
      <c r="L41" s="120"/>
      <c r="M41" s="120"/>
      <c r="N41" s="120"/>
      <c r="O41" s="246"/>
      <c r="P41" s="246">
        <v>480.56</v>
      </c>
      <c r="Q41" s="246">
        <v>3109.02</v>
      </c>
      <c r="R41" s="247">
        <v>3850.67</v>
      </c>
      <c r="S41" s="334">
        <v>4000</v>
      </c>
      <c r="T41" s="126"/>
      <c r="U41" s="330"/>
    </row>
    <row r="42" spans="1:27">
      <c r="A42" s="119" t="s">
        <v>24</v>
      </c>
      <c r="B42" s="34">
        <v>22.22</v>
      </c>
      <c r="C42" s="34">
        <v>4510</v>
      </c>
      <c r="D42" s="10">
        <v>2055</v>
      </c>
      <c r="E42" s="12">
        <v>3648</v>
      </c>
      <c r="F42" s="34">
        <v>4046.87</v>
      </c>
      <c r="G42" s="34">
        <v>3780.02</v>
      </c>
      <c r="H42" s="34">
        <v>3907.55</v>
      </c>
      <c r="I42" s="126">
        <v>4074.02</v>
      </c>
      <c r="J42" s="126">
        <v>3708.66</v>
      </c>
      <c r="K42" s="120">
        <v>3729.73</v>
      </c>
      <c r="L42" s="120">
        <v>4025.41</v>
      </c>
      <c r="M42" s="120">
        <v>4386.59</v>
      </c>
      <c r="N42" s="120">
        <v>8700.19</v>
      </c>
      <c r="O42" s="246"/>
      <c r="P42" s="246"/>
      <c r="Q42" s="246"/>
      <c r="R42" s="246"/>
      <c r="S42" s="126"/>
      <c r="T42" s="126"/>
      <c r="X42" s="29"/>
    </row>
    <row r="43" spans="1:27">
      <c r="A43" s="121" t="s">
        <v>115</v>
      </c>
      <c r="B43" s="34">
        <v>2007.75</v>
      </c>
      <c r="C43" s="34">
        <v>26486</v>
      </c>
      <c r="D43" s="10">
        <v>22133</v>
      </c>
      <c r="E43" s="12">
        <v>47685</v>
      </c>
      <c r="F43" s="34">
        <v>117976.48</v>
      </c>
      <c r="G43" s="34">
        <v>22518</v>
      </c>
      <c r="H43" s="34">
        <v>16815.05</v>
      </c>
      <c r="I43" s="126">
        <v>6256</v>
      </c>
      <c r="J43" s="126">
        <v>7258.06</v>
      </c>
      <c r="K43" s="120">
        <f>95403+421476</f>
        <v>516879</v>
      </c>
      <c r="L43" s="126">
        <v>11163.93</v>
      </c>
      <c r="M43" s="126">
        <v>48026.57</v>
      </c>
      <c r="N43" s="126">
        <v>12877.99</v>
      </c>
      <c r="O43" s="247">
        <v>41612.839999999997</v>
      </c>
      <c r="P43" s="247">
        <v>6067</v>
      </c>
      <c r="Q43" s="247">
        <f>1885.83+98500.13</f>
        <v>100385.96</v>
      </c>
      <c r="R43" s="247">
        <v>100385.96</v>
      </c>
      <c r="S43" s="334">
        <v>50000</v>
      </c>
      <c r="T43" s="126">
        <v>15000</v>
      </c>
      <c r="U43" s="330" t="s">
        <v>331</v>
      </c>
      <c r="Y43" s="29"/>
    </row>
    <row r="44" spans="1:27">
      <c r="A44" s="121" t="s">
        <v>135</v>
      </c>
      <c r="B44" s="34">
        <v>33</v>
      </c>
      <c r="C44" s="34">
        <v>93</v>
      </c>
      <c r="D44" s="10"/>
      <c r="E44" s="12"/>
      <c r="F44" s="34">
        <v>140.37</v>
      </c>
      <c r="G44" s="34"/>
      <c r="H44" s="34">
        <v>346.63</v>
      </c>
      <c r="I44" s="126">
        <v>1373.5</v>
      </c>
      <c r="J44" s="126">
        <v>1751.35</v>
      </c>
      <c r="K44" s="120"/>
      <c r="L44" s="120"/>
      <c r="M44" s="120"/>
      <c r="N44" s="126">
        <v>112882.6</v>
      </c>
      <c r="O44" s="247">
        <v>75630.94</v>
      </c>
      <c r="P44" s="247"/>
      <c r="Q44" s="247"/>
      <c r="R44" s="247"/>
      <c r="S44" s="126"/>
      <c r="T44" s="126"/>
    </row>
    <row r="45" spans="1:27">
      <c r="A45" s="119" t="s">
        <v>25</v>
      </c>
      <c r="B45" s="34">
        <v>6034.02</v>
      </c>
      <c r="C45" s="12">
        <v>542</v>
      </c>
      <c r="D45" s="34">
        <v>636</v>
      </c>
      <c r="E45" s="10">
        <v>256</v>
      </c>
      <c r="F45" s="34">
        <v>60.01</v>
      </c>
      <c r="G45" s="34">
        <v>63.99</v>
      </c>
      <c r="H45" s="34">
        <v>143.99</v>
      </c>
      <c r="I45" s="126">
        <v>0</v>
      </c>
      <c r="J45" s="126"/>
      <c r="K45" s="120"/>
      <c r="L45" s="120"/>
      <c r="M45" s="120"/>
      <c r="N45" s="120"/>
      <c r="O45" s="246"/>
      <c r="P45" s="246"/>
      <c r="Q45" s="246"/>
      <c r="R45" s="246"/>
      <c r="S45" s="126"/>
      <c r="T45" s="126"/>
      <c r="U45" s="15"/>
    </row>
    <row r="46" spans="1:27">
      <c r="A46" s="119" t="s">
        <v>26</v>
      </c>
      <c r="B46" s="34">
        <v>76401.91</v>
      </c>
      <c r="C46" s="12">
        <v>70284</v>
      </c>
      <c r="D46" s="34">
        <v>33968</v>
      </c>
      <c r="E46" s="10">
        <v>44373</v>
      </c>
      <c r="F46" s="34">
        <v>62650.42</v>
      </c>
      <c r="G46" s="34">
        <v>113089.41</v>
      </c>
      <c r="H46" s="34">
        <v>89195.73</v>
      </c>
      <c r="I46" s="126">
        <v>49564.21</v>
      </c>
      <c r="J46" s="126">
        <v>79048.45</v>
      </c>
      <c r="K46" s="120">
        <v>90629.74</v>
      </c>
      <c r="L46" s="126">
        <v>151263.51</v>
      </c>
      <c r="M46" s="126">
        <v>271248.39</v>
      </c>
      <c r="N46" s="126">
        <v>185814.52</v>
      </c>
      <c r="O46" s="247">
        <v>132899.09</v>
      </c>
      <c r="P46" s="247">
        <v>308630</v>
      </c>
      <c r="Q46" s="247">
        <f>516754+1457.04+6295.36-2280.59</f>
        <v>522225.81</v>
      </c>
      <c r="R46" s="247">
        <v>703332</v>
      </c>
      <c r="S46" s="334">
        <f>'10-4900 Investment Income'!G21</f>
        <v>600000</v>
      </c>
      <c r="T46" s="126">
        <v>550000</v>
      </c>
      <c r="U46" s="335" t="s">
        <v>332</v>
      </c>
    </row>
    <row r="47" spans="1:27">
      <c r="A47" s="119" t="s">
        <v>27</v>
      </c>
      <c r="B47" s="34"/>
      <c r="C47" s="34"/>
      <c r="D47" s="10"/>
      <c r="E47" s="12"/>
      <c r="F47" s="34"/>
      <c r="G47" s="34"/>
      <c r="H47" s="34"/>
      <c r="I47" s="126"/>
      <c r="J47" s="126">
        <f>(SUM(G47:I47))/4</f>
        <v>0</v>
      </c>
      <c r="K47" s="120"/>
      <c r="L47" s="126"/>
      <c r="M47" s="126"/>
      <c r="N47" s="126"/>
      <c r="O47" s="247"/>
      <c r="P47" s="247"/>
      <c r="Q47" s="247"/>
      <c r="R47" s="247"/>
      <c r="S47" s="126"/>
      <c r="T47" s="126"/>
    </row>
    <row r="48" spans="1:27">
      <c r="A48" s="137" t="s">
        <v>95</v>
      </c>
      <c r="B48" s="34">
        <v>22222.12</v>
      </c>
      <c r="C48" s="34">
        <v>9406</v>
      </c>
      <c r="D48" s="10">
        <v>29817</v>
      </c>
      <c r="E48" s="12">
        <v>2850</v>
      </c>
      <c r="F48" s="34">
        <f t="shared" ref="F48" si="8">6915.98+17114.7</f>
        <v>24030.68</v>
      </c>
      <c r="G48" s="34">
        <f>10976.57+11681.85</f>
        <v>22658.42</v>
      </c>
      <c r="H48" s="34">
        <f>9334.9+11305</f>
        <v>20639.900000000001</v>
      </c>
      <c r="I48" s="126">
        <f>27780.8+11305</f>
        <v>39085.800000000003</v>
      </c>
      <c r="J48" s="126">
        <v>8766.91</v>
      </c>
      <c r="K48" s="120">
        <f>4839.06</f>
        <v>4839.0600000000004</v>
      </c>
      <c r="L48" s="126">
        <v>4421.45</v>
      </c>
      <c r="M48" s="126">
        <v>5248.49</v>
      </c>
      <c r="N48" s="126">
        <v>17755.5</v>
      </c>
      <c r="O48" s="247">
        <v>3859.6</v>
      </c>
      <c r="P48" s="247">
        <v>51282</v>
      </c>
      <c r="Q48" s="247">
        <v>173312.62</v>
      </c>
      <c r="R48" s="247">
        <v>180650.62</v>
      </c>
      <c r="S48" s="334">
        <v>55000</v>
      </c>
      <c r="T48" s="126">
        <v>40000</v>
      </c>
      <c r="U48" s="330" t="s">
        <v>334</v>
      </c>
    </row>
    <row r="49" spans="1:58">
      <c r="A49" s="137" t="s">
        <v>96</v>
      </c>
      <c r="B49" s="10"/>
      <c r="C49" s="10"/>
      <c r="D49" s="10"/>
      <c r="E49" s="10"/>
      <c r="F49" s="10"/>
      <c r="G49" s="10"/>
      <c r="H49" s="10"/>
      <c r="I49" s="126"/>
      <c r="J49" s="126">
        <v>25910.99</v>
      </c>
      <c r="K49" s="120"/>
      <c r="L49" s="126">
        <v>55469</v>
      </c>
      <c r="M49" s="126"/>
      <c r="N49" s="126"/>
      <c r="O49" s="247"/>
      <c r="P49" s="247"/>
      <c r="Q49" s="247"/>
      <c r="R49" s="247"/>
      <c r="S49" s="126"/>
      <c r="T49" s="126"/>
    </row>
    <row r="50" spans="1:58" s="7" customFormat="1">
      <c r="A50" s="7" t="s">
        <v>97</v>
      </c>
      <c r="B50" s="38"/>
      <c r="C50" s="38"/>
      <c r="D50" s="38"/>
      <c r="E50" s="38"/>
      <c r="F50" s="38"/>
      <c r="G50" s="38"/>
      <c r="H50" s="38"/>
      <c r="I50" s="126"/>
      <c r="J50" s="126">
        <v>11305</v>
      </c>
      <c r="K50" s="120">
        <v>11305</v>
      </c>
      <c r="L50" s="126">
        <v>11305</v>
      </c>
      <c r="M50" s="126">
        <v>11305</v>
      </c>
      <c r="N50" s="126">
        <v>10790.05</v>
      </c>
      <c r="O50" s="247">
        <v>9687.5</v>
      </c>
      <c r="P50" s="247">
        <v>14488</v>
      </c>
      <c r="Q50" s="247">
        <v>9688</v>
      </c>
      <c r="R50" s="247">
        <v>9687.5</v>
      </c>
      <c r="S50" s="334">
        <v>9688</v>
      </c>
      <c r="T50" s="126">
        <v>9688</v>
      </c>
    </row>
    <row r="51" spans="1:58" s="139" customFormat="1">
      <c r="A51" s="153" t="s">
        <v>100</v>
      </c>
      <c r="B51" s="154">
        <f t="shared" ref="B51:O51" si="9">SUM(B39:B50)</f>
        <v>130883.61</v>
      </c>
      <c r="C51" s="154">
        <f t="shared" si="9"/>
        <v>118817</v>
      </c>
      <c r="D51" s="148">
        <f t="shared" si="9"/>
        <v>100519</v>
      </c>
      <c r="E51" s="155">
        <f t="shared" si="9"/>
        <v>109644</v>
      </c>
      <c r="F51" s="154">
        <f t="shared" si="9"/>
        <v>218200.41999999998</v>
      </c>
      <c r="G51" s="154">
        <f t="shared" si="9"/>
        <v>171486.90000000002</v>
      </c>
      <c r="H51" s="155">
        <f t="shared" si="9"/>
        <v>140817.35999999999</v>
      </c>
      <c r="I51" s="148">
        <f t="shared" si="9"/>
        <v>105693.03</v>
      </c>
      <c r="J51" s="148">
        <f t="shared" si="9"/>
        <v>148158.94999999998</v>
      </c>
      <c r="K51" s="206">
        <f t="shared" si="9"/>
        <v>635870.53</v>
      </c>
      <c r="L51" s="206">
        <f t="shared" si="9"/>
        <v>244723.48</v>
      </c>
      <c r="M51" s="206">
        <f t="shared" si="9"/>
        <v>347784.73</v>
      </c>
      <c r="N51" s="206">
        <f t="shared" si="9"/>
        <v>419093.63999999996</v>
      </c>
      <c r="O51" s="206">
        <f t="shared" si="9"/>
        <v>268584.88</v>
      </c>
      <c r="P51" s="206">
        <f t="shared" ref="P51:R51" si="10">SUM(P39:P50)</f>
        <v>386915.18</v>
      </c>
      <c r="Q51" s="206">
        <f t="shared" si="10"/>
        <v>808721.41</v>
      </c>
      <c r="R51" s="206">
        <f t="shared" si="10"/>
        <v>997906.75</v>
      </c>
      <c r="S51" s="206">
        <f t="shared" ref="S51" si="11">SUM(S39:S50)</f>
        <v>718688</v>
      </c>
      <c r="T51" s="206">
        <f t="shared" ref="T51" si="12">SUM(T39:T50)</f>
        <v>614688</v>
      </c>
    </row>
    <row r="52" spans="1:58" s="7" customFormat="1" ht="13.5" thickBot="1">
      <c r="B52" s="38"/>
      <c r="C52" s="38"/>
      <c r="D52" s="38"/>
      <c r="E52" s="38"/>
      <c r="F52" s="38"/>
      <c r="G52" s="38"/>
      <c r="H52" s="38"/>
      <c r="I52" s="38"/>
      <c r="J52" s="10"/>
      <c r="K52" s="38"/>
      <c r="L52" s="38"/>
      <c r="M52" s="38"/>
      <c r="N52" s="38"/>
      <c r="O52" s="205"/>
      <c r="P52" s="205"/>
      <c r="Q52" s="205"/>
      <c r="R52" s="205"/>
      <c r="S52" s="38"/>
      <c r="T52" s="38"/>
    </row>
    <row r="53" spans="1:58" s="17" customFormat="1" ht="13.5" thickBot="1">
      <c r="A53" s="46" t="s">
        <v>28</v>
      </c>
      <c r="B53" s="58">
        <f t="shared" ref="B53:O53" si="13">B18+B37+B39+B40+B42+B43+B44+B45+B46+B47+B48+B49+B50</f>
        <v>2041054.4800000002</v>
      </c>
      <c r="C53" s="58">
        <f t="shared" si="13"/>
        <v>2003481</v>
      </c>
      <c r="D53" s="58">
        <f t="shared" si="13"/>
        <v>2188047</v>
      </c>
      <c r="E53" s="58">
        <f t="shared" si="13"/>
        <v>2313955</v>
      </c>
      <c r="F53" s="58">
        <f t="shared" si="13"/>
        <v>4155964.2099999995</v>
      </c>
      <c r="G53" s="58">
        <f t="shared" si="13"/>
        <v>2068989.21</v>
      </c>
      <c r="H53" s="152">
        <f t="shared" si="13"/>
        <v>3780051.1799999997</v>
      </c>
      <c r="I53" s="149">
        <f t="shared" si="13"/>
        <v>4305631.43</v>
      </c>
      <c r="J53" s="162">
        <f t="shared" si="13"/>
        <v>4876827.75</v>
      </c>
      <c r="K53" s="58">
        <f t="shared" si="13"/>
        <v>4027925.3200000003</v>
      </c>
      <c r="L53" s="152">
        <f t="shared" si="13"/>
        <v>2138879.33</v>
      </c>
      <c r="M53" s="149">
        <f t="shared" si="13"/>
        <v>1971032.3900000004</v>
      </c>
      <c r="N53" s="207">
        <f t="shared" si="13"/>
        <v>2105771.0299999998</v>
      </c>
      <c r="O53" s="207">
        <f t="shared" si="13"/>
        <v>3826924.6599999997</v>
      </c>
      <c r="P53" s="207">
        <f>P18+P37+P39+P40+P41+P42+P43+P44+P45+P46+P47+P48+P49+P50</f>
        <v>2280307.1800000002</v>
      </c>
      <c r="Q53" s="207">
        <f>Q18+Q37+Q39+Q40+Q41+Q42+Q43+Q44+Q45+Q46+Q47+Q48+Q49+Q50</f>
        <v>3269086.5</v>
      </c>
      <c r="R53" s="207">
        <f>R18+R37+R39+R40+R41+R42+R43+R44+R45+R46+R47+R48+R49+R50</f>
        <v>3664400.35</v>
      </c>
      <c r="S53" s="207">
        <f t="shared" ref="S53" si="14">S18+S37+S39+S40+S42+S43+S44+S45+S46+S47+S48+S49+S50</f>
        <v>3472188</v>
      </c>
      <c r="T53" s="207">
        <f t="shared" ref="T53" si="15">T18+T37+T39+T40+T42+T43+T44+T45+T46+T47+T48+T49+T50</f>
        <v>2756138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s="1" customFormat="1">
      <c r="A54" s="47"/>
      <c r="B54" s="97"/>
      <c r="C54" s="97"/>
      <c r="D54" s="98"/>
      <c r="E54" s="98"/>
      <c r="F54" s="99"/>
      <c r="G54" s="97"/>
      <c r="H54" s="161"/>
      <c r="I54" s="98"/>
      <c r="J54" s="98"/>
      <c r="K54" s="98"/>
      <c r="L54" s="98"/>
      <c r="M54" s="98"/>
      <c r="N54" s="38"/>
      <c r="O54" s="205"/>
      <c r="P54" s="205"/>
      <c r="Q54" s="205"/>
      <c r="R54" s="205"/>
      <c r="S54" s="38"/>
      <c r="T54" s="38"/>
    </row>
    <row r="55" spans="1:58" ht="15.75" customHeight="1">
      <c r="A55" s="106" t="s">
        <v>29</v>
      </c>
      <c r="B55" s="34"/>
      <c r="C55" s="34"/>
      <c r="D55" s="10"/>
      <c r="E55" s="10"/>
      <c r="F55" s="67"/>
      <c r="G55" s="34"/>
      <c r="H55" s="12"/>
      <c r="I55" s="10"/>
      <c r="J55" s="10"/>
      <c r="K55" s="10"/>
      <c r="L55" s="10"/>
      <c r="M55" s="10"/>
      <c r="N55" s="10"/>
      <c r="O55" s="201"/>
      <c r="P55" s="201"/>
      <c r="Q55" s="201"/>
      <c r="R55" s="201"/>
      <c r="S55" s="10"/>
      <c r="T55" s="10"/>
    </row>
    <row r="56" spans="1:58" ht="13.5" thickBot="1">
      <c r="A56" s="47"/>
      <c r="B56" s="34"/>
      <c r="C56" s="34"/>
      <c r="D56" s="10"/>
      <c r="E56" s="10"/>
      <c r="F56" s="67"/>
      <c r="G56" s="34"/>
      <c r="H56" s="12"/>
      <c r="I56" s="10"/>
      <c r="J56" s="10"/>
      <c r="K56" s="10"/>
      <c r="L56" s="10"/>
      <c r="M56" s="10"/>
      <c r="N56" s="10"/>
      <c r="O56" s="201"/>
      <c r="P56" s="201"/>
      <c r="Q56" s="201"/>
      <c r="R56" s="201"/>
      <c r="S56" s="10"/>
      <c r="T56" s="10"/>
    </row>
    <row r="57" spans="1:58">
      <c r="A57" s="42" t="s">
        <v>30</v>
      </c>
      <c r="B57" s="55">
        <v>140679.48000000001</v>
      </c>
      <c r="C57" s="55">
        <v>105811</v>
      </c>
      <c r="D57" s="35">
        <v>107795</v>
      </c>
      <c r="E57" s="11">
        <v>96938</v>
      </c>
      <c r="F57" s="55">
        <v>100567.5</v>
      </c>
      <c r="G57" s="55">
        <v>106604.55</v>
      </c>
      <c r="H57" s="11">
        <v>59632.66</v>
      </c>
      <c r="I57" s="18">
        <v>26668.76</v>
      </c>
      <c r="J57" s="18">
        <v>26155.439999999999</v>
      </c>
      <c r="K57" s="18">
        <v>22406.959999999999</v>
      </c>
      <c r="L57" s="18">
        <f>28827.01</f>
        <v>28827.01</v>
      </c>
      <c r="M57" s="18">
        <v>31652.52</v>
      </c>
      <c r="N57" s="18">
        <v>24950.12</v>
      </c>
      <c r="O57" s="248">
        <v>44350.89</v>
      </c>
      <c r="P57" s="248">
        <v>27920</v>
      </c>
      <c r="Q57" s="248">
        <v>25317.23</v>
      </c>
      <c r="R57" s="248">
        <v>29695.86</v>
      </c>
      <c r="S57" s="325">
        <v>32000</v>
      </c>
      <c r="T57" s="18">
        <v>30000</v>
      </c>
      <c r="U57" s="326" t="s">
        <v>291</v>
      </c>
    </row>
    <row r="58" spans="1:58">
      <c r="A58" s="113" t="s">
        <v>40</v>
      </c>
      <c r="B58" s="34">
        <v>20556.189999999999</v>
      </c>
      <c r="C58" s="34">
        <v>19968</v>
      </c>
      <c r="D58" s="66">
        <v>21544</v>
      </c>
      <c r="E58" s="20">
        <v>19598</v>
      </c>
      <c r="F58" s="34">
        <v>39809.69</v>
      </c>
      <c r="G58" s="34">
        <v>34851.9</v>
      </c>
      <c r="H58" s="34">
        <v>6269.78</v>
      </c>
      <c r="I58" s="34">
        <v>10117.49</v>
      </c>
      <c r="J58" s="73">
        <v>11313.47</v>
      </c>
      <c r="K58" s="73">
        <v>7689.51</v>
      </c>
      <c r="L58" s="73">
        <v>8340.0499999999993</v>
      </c>
      <c r="M58" s="73">
        <v>9489.02</v>
      </c>
      <c r="N58" s="73">
        <v>9437.2900000000009</v>
      </c>
      <c r="O58" s="73">
        <v>9303.85</v>
      </c>
      <c r="P58" s="73">
        <v>6383</v>
      </c>
      <c r="Q58" s="73">
        <v>8523.0400000000009</v>
      </c>
      <c r="R58" s="73">
        <v>17162.349999999999</v>
      </c>
      <c r="S58" s="274">
        <f>'10-5100 10-5105 10-5115 Mailing'!B39</f>
        <v>17230</v>
      </c>
      <c r="T58" s="73">
        <v>9000</v>
      </c>
      <c r="U58" s="321"/>
    </row>
    <row r="59" spans="1:58" ht="13.5" thickBot="1">
      <c r="A59" s="249" t="s">
        <v>218</v>
      </c>
      <c r="B59" s="34"/>
      <c r="C59" s="34"/>
      <c r="D59" s="66">
        <v>19414</v>
      </c>
      <c r="E59" s="20">
        <v>21932</v>
      </c>
      <c r="F59" s="34"/>
      <c r="G59" s="34"/>
      <c r="H59" s="34"/>
      <c r="I59" s="34"/>
      <c r="J59" s="73">
        <v>7008.48</v>
      </c>
      <c r="K59" s="73">
        <v>8225.94</v>
      </c>
      <c r="L59" s="73">
        <v>22654.5</v>
      </c>
      <c r="M59" s="73">
        <v>40443.64</v>
      </c>
      <c r="N59" s="73">
        <v>31604.91</v>
      </c>
      <c r="O59" s="73">
        <v>18677.25</v>
      </c>
      <c r="P59" s="73">
        <v>67894</v>
      </c>
      <c r="Q59" s="73">
        <v>30880.61</v>
      </c>
      <c r="R59" s="73">
        <v>35729.019999999997</v>
      </c>
      <c r="S59" s="329">
        <f>'10-5100 10-5105 10-5115 Mailing'!B9</f>
        <v>40000</v>
      </c>
      <c r="T59" s="73">
        <v>70000</v>
      </c>
      <c r="U59" s="330" t="s">
        <v>300</v>
      </c>
    </row>
    <row r="60" spans="1:58" s="7" customFormat="1">
      <c r="A60" s="87" t="s">
        <v>31</v>
      </c>
      <c r="B60" s="88">
        <f>SUM(B57:B59)</f>
        <v>161235.67000000001</v>
      </c>
      <c r="C60" s="88">
        <f t="shared" ref="C60:T60" si="16">SUM(C57:C59)</f>
        <v>125779</v>
      </c>
      <c r="D60" s="88">
        <f t="shared" si="16"/>
        <v>148753</v>
      </c>
      <c r="E60" s="88">
        <f t="shared" si="16"/>
        <v>138468</v>
      </c>
      <c r="F60" s="88">
        <f t="shared" si="16"/>
        <v>140377.19</v>
      </c>
      <c r="G60" s="88">
        <f t="shared" si="16"/>
        <v>141456.45000000001</v>
      </c>
      <c r="H60" s="88">
        <f t="shared" si="16"/>
        <v>65902.44</v>
      </c>
      <c r="I60" s="88">
        <f t="shared" si="16"/>
        <v>36786.25</v>
      </c>
      <c r="J60" s="88">
        <f t="shared" si="16"/>
        <v>44477.39</v>
      </c>
      <c r="K60" s="88">
        <f t="shared" si="16"/>
        <v>38322.410000000003</v>
      </c>
      <c r="L60" s="88">
        <f t="shared" si="16"/>
        <v>59821.56</v>
      </c>
      <c r="M60" s="88">
        <f t="shared" si="16"/>
        <v>81585.179999999993</v>
      </c>
      <c r="N60" s="88">
        <f t="shared" si="16"/>
        <v>65992.320000000007</v>
      </c>
      <c r="O60" s="88">
        <f t="shared" si="16"/>
        <v>72331.989999999991</v>
      </c>
      <c r="P60" s="88">
        <f t="shared" si="16"/>
        <v>102197</v>
      </c>
      <c r="Q60" s="88">
        <f t="shared" ref="Q60:R60" si="17">SUM(Q57:Q59)</f>
        <v>64720.880000000005</v>
      </c>
      <c r="R60" s="88">
        <f t="shared" si="17"/>
        <v>82587.23</v>
      </c>
      <c r="S60" s="88">
        <f t="shared" si="16"/>
        <v>89230</v>
      </c>
      <c r="T60" s="88">
        <f t="shared" si="16"/>
        <v>109000</v>
      </c>
    </row>
    <row r="61" spans="1:58" s="7" customFormat="1" ht="13.5" thickBot="1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205"/>
      <c r="P61" s="205"/>
      <c r="Q61" s="205"/>
      <c r="R61" s="205"/>
      <c r="S61" s="38"/>
      <c r="T61" s="38"/>
    </row>
    <row r="62" spans="1:58">
      <c r="A62" s="44" t="s">
        <v>32</v>
      </c>
      <c r="B62" s="56"/>
      <c r="C62" s="56"/>
      <c r="D62" s="36"/>
      <c r="E62" s="13"/>
      <c r="F62" s="56"/>
      <c r="G62" s="56"/>
      <c r="H62" s="56"/>
      <c r="I62" s="70"/>
      <c r="J62" s="70"/>
      <c r="K62" s="70"/>
      <c r="L62" s="70"/>
      <c r="M62" s="70"/>
      <c r="N62" s="70"/>
      <c r="O62" s="202"/>
      <c r="P62" s="202"/>
      <c r="Q62" s="202"/>
      <c r="R62" s="202"/>
      <c r="S62" s="70"/>
      <c r="T62" s="70"/>
    </row>
    <row r="63" spans="1:58">
      <c r="A63" s="133" t="s">
        <v>132</v>
      </c>
      <c r="B63" s="34"/>
      <c r="C63" s="34"/>
      <c r="D63" s="10"/>
      <c r="E63" s="12"/>
      <c r="F63" s="34"/>
      <c r="G63" s="34"/>
      <c r="H63" s="34"/>
      <c r="I63" s="71">
        <f>2959.4</f>
        <v>2959.4</v>
      </c>
      <c r="J63" s="71">
        <v>2754.43</v>
      </c>
      <c r="K63" s="71"/>
      <c r="L63" s="71"/>
      <c r="M63" s="71"/>
      <c r="N63" s="71"/>
      <c r="O63" s="203"/>
      <c r="P63" s="203"/>
      <c r="Q63" s="203"/>
      <c r="R63" s="203"/>
      <c r="S63" s="71"/>
      <c r="T63" s="71"/>
      <c r="V63" s="10"/>
    </row>
    <row r="64" spans="1:58">
      <c r="A64" s="45" t="s">
        <v>17</v>
      </c>
      <c r="B64" s="34"/>
      <c r="C64" s="34"/>
      <c r="D64" s="10">
        <v>1183</v>
      </c>
      <c r="E64" s="12">
        <v>2809.54</v>
      </c>
      <c r="F64" s="34">
        <v>7284.54</v>
      </c>
      <c r="G64" s="34">
        <v>12093.19</v>
      </c>
      <c r="H64" s="34">
        <v>8058.05</v>
      </c>
      <c r="I64" s="71">
        <f>25745.8-20000</f>
        <v>5745.7999999999993</v>
      </c>
      <c r="J64" s="71">
        <v>3901.71</v>
      </c>
      <c r="K64" s="71">
        <v>5701.84</v>
      </c>
      <c r="L64" s="71"/>
      <c r="M64" s="71">
        <v>6227.57</v>
      </c>
      <c r="N64" s="71">
        <v>518.69000000000005</v>
      </c>
      <c r="O64" s="203"/>
      <c r="P64" s="203"/>
      <c r="Q64" s="203"/>
      <c r="R64" s="203"/>
      <c r="S64" s="71"/>
      <c r="T64" s="71"/>
      <c r="AC64" s="338"/>
    </row>
    <row r="65" spans="1:21">
      <c r="A65" s="133" t="s">
        <v>107</v>
      </c>
      <c r="B65" s="34">
        <v>144.56</v>
      </c>
      <c r="C65" s="34"/>
      <c r="D65" s="10">
        <v>6</v>
      </c>
      <c r="E65" s="12"/>
      <c r="F65" s="34"/>
      <c r="G65" s="34"/>
      <c r="H65" s="34">
        <v>107.06</v>
      </c>
      <c r="I65" s="71">
        <v>616.38</v>
      </c>
      <c r="J65" s="71">
        <v>942.86</v>
      </c>
      <c r="K65" s="71"/>
      <c r="L65" s="71"/>
      <c r="M65" s="71"/>
      <c r="N65" s="71"/>
      <c r="O65" s="203"/>
      <c r="P65" s="203"/>
      <c r="Q65" s="203"/>
      <c r="R65" s="242">
        <v>684.17</v>
      </c>
      <c r="S65" s="71"/>
      <c r="T65" s="71"/>
    </row>
    <row r="66" spans="1:21">
      <c r="A66" s="45" t="s">
        <v>18</v>
      </c>
      <c r="B66" s="34">
        <v>72825.649999999994</v>
      </c>
      <c r="C66" s="34">
        <v>70733</v>
      </c>
      <c r="D66" s="10">
        <v>103829</v>
      </c>
      <c r="E66" s="12">
        <v>81860.95</v>
      </c>
      <c r="F66" s="34">
        <v>67341.23</v>
      </c>
      <c r="G66" s="34">
        <v>111206.06</v>
      </c>
      <c r="H66" s="34">
        <v>108068.92</v>
      </c>
      <c r="I66" s="71">
        <f>107749.84-1960</f>
        <v>105789.84</v>
      </c>
      <c r="J66" s="71">
        <v>116854.47</v>
      </c>
      <c r="K66" s="71">
        <v>124675.57</v>
      </c>
      <c r="L66" s="71">
        <v>117247.78</v>
      </c>
      <c r="M66" s="71">
        <v>134057.98000000001</v>
      </c>
      <c r="N66" s="71"/>
      <c r="O66" s="242">
        <v>-748.75</v>
      </c>
      <c r="P66" s="242">
        <v>253976</v>
      </c>
      <c r="Q66" s="242">
        <v>286398.84000000003</v>
      </c>
      <c r="R66" s="242">
        <v>288315.84000000003</v>
      </c>
      <c r="S66" s="322">
        <v>320000</v>
      </c>
      <c r="T66" s="71">
        <v>265000</v>
      </c>
      <c r="U66" s="321"/>
    </row>
    <row r="67" spans="1:21">
      <c r="A67" s="45" t="s">
        <v>19</v>
      </c>
      <c r="B67" s="34">
        <v>13016.23</v>
      </c>
      <c r="C67" s="34">
        <v>9210</v>
      </c>
      <c r="D67" s="10">
        <v>160458</v>
      </c>
      <c r="E67" s="12">
        <v>9148.5300000000007</v>
      </c>
      <c r="F67" s="34">
        <v>9178.44</v>
      </c>
      <c r="G67" s="34">
        <v>11017.76</v>
      </c>
      <c r="H67" s="34">
        <v>8364.59</v>
      </c>
      <c r="I67" s="71">
        <f>15086.01-5320.8</f>
        <v>9765.2099999999991</v>
      </c>
      <c r="J67" s="71">
        <v>12248.29</v>
      </c>
      <c r="K67" s="71">
        <v>9919.0499999999993</v>
      </c>
      <c r="L67" s="71">
        <v>14115.8</v>
      </c>
      <c r="M67" s="71"/>
      <c r="N67" s="71"/>
      <c r="O67" s="242"/>
      <c r="P67" s="242"/>
      <c r="Q67" s="242"/>
      <c r="R67" s="242"/>
      <c r="S67" s="322"/>
      <c r="T67" s="71"/>
    </row>
    <row r="68" spans="1:21">
      <c r="A68" s="45" t="s">
        <v>79</v>
      </c>
      <c r="B68" s="34">
        <v>36094.32</v>
      </c>
      <c r="C68" s="34">
        <v>32414</v>
      </c>
      <c r="D68" s="10">
        <v>26440</v>
      </c>
      <c r="E68" s="12">
        <v>13353.87</v>
      </c>
      <c r="F68" s="34">
        <v>22505.56</v>
      </c>
      <c r="G68" s="34">
        <v>21703.54</v>
      </c>
      <c r="H68" s="34">
        <v>39460.81</v>
      </c>
      <c r="I68" s="71">
        <f>37594.06</f>
        <v>37594.06</v>
      </c>
      <c r="J68" s="71">
        <v>58722.67</v>
      </c>
      <c r="K68" s="71">
        <v>58315.38</v>
      </c>
      <c r="L68" s="71">
        <v>65374.03</v>
      </c>
      <c r="M68" s="71">
        <v>59809.64</v>
      </c>
      <c r="N68" s="71">
        <v>386.95</v>
      </c>
      <c r="O68" s="242">
        <v>84700.18</v>
      </c>
      <c r="P68" s="242">
        <v>82344</v>
      </c>
      <c r="Q68" s="242">
        <v>109395.64</v>
      </c>
      <c r="R68" s="242">
        <v>116184.45</v>
      </c>
      <c r="S68" s="322">
        <v>120000</v>
      </c>
      <c r="T68" s="71">
        <v>125000</v>
      </c>
      <c r="U68" s="321"/>
    </row>
    <row r="69" spans="1:21">
      <c r="A69" s="45" t="s">
        <v>82</v>
      </c>
      <c r="B69" s="34"/>
      <c r="C69" s="34"/>
      <c r="D69" s="10"/>
      <c r="E69" s="12"/>
      <c r="F69" s="34"/>
      <c r="G69" s="34"/>
      <c r="H69" s="34"/>
      <c r="I69" s="71"/>
      <c r="J69" s="71">
        <v>25911</v>
      </c>
      <c r="K69" s="71"/>
      <c r="L69" s="71"/>
      <c r="M69" s="71"/>
      <c r="N69" s="71"/>
      <c r="O69" s="242"/>
      <c r="P69" s="242"/>
      <c r="Q69" s="242">
        <v>15104.27</v>
      </c>
      <c r="R69" s="242">
        <v>15104.27</v>
      </c>
      <c r="S69" s="322">
        <v>75000</v>
      </c>
      <c r="T69" s="71">
        <v>16000</v>
      </c>
      <c r="U69" s="321"/>
    </row>
    <row r="70" spans="1:21">
      <c r="A70" s="133" t="s">
        <v>103</v>
      </c>
      <c r="B70" s="34"/>
      <c r="C70" s="34"/>
      <c r="D70" s="10"/>
      <c r="E70" s="12"/>
      <c r="F70" s="34"/>
      <c r="G70" s="34"/>
      <c r="H70" s="34"/>
      <c r="I70" s="71"/>
      <c r="J70" s="71"/>
      <c r="K70" s="71">
        <v>2734.48</v>
      </c>
      <c r="L70" s="71">
        <v>3461.1</v>
      </c>
      <c r="M70" s="71">
        <v>1580</v>
      </c>
      <c r="N70" s="71"/>
      <c r="O70" s="242"/>
      <c r="P70" s="242"/>
      <c r="Q70" s="242">
        <v>684.17</v>
      </c>
      <c r="R70" s="242"/>
      <c r="S70" s="322"/>
      <c r="T70" s="71"/>
    </row>
    <row r="71" spans="1:21">
      <c r="A71" s="133" t="s">
        <v>102</v>
      </c>
      <c r="B71" s="34"/>
      <c r="C71" s="34"/>
      <c r="D71" s="10"/>
      <c r="E71" s="12"/>
      <c r="F71" s="34"/>
      <c r="G71" s="34"/>
      <c r="H71" s="34"/>
      <c r="I71" s="71"/>
      <c r="J71" s="71"/>
      <c r="K71" s="71"/>
      <c r="L71" s="71"/>
      <c r="M71" s="71">
        <v>19711.900000000001</v>
      </c>
      <c r="N71" s="71">
        <v>8956.5</v>
      </c>
      <c r="O71" s="242">
        <v>20308.900000000001</v>
      </c>
      <c r="P71" s="242"/>
      <c r="Q71" s="242"/>
      <c r="R71" s="242"/>
      <c r="S71" s="322"/>
      <c r="T71" s="71"/>
    </row>
    <row r="72" spans="1:21">
      <c r="A72" s="133" t="s">
        <v>130</v>
      </c>
      <c r="B72" s="34"/>
      <c r="C72" s="34"/>
      <c r="D72" s="10"/>
      <c r="E72" s="12"/>
      <c r="F72" s="34"/>
      <c r="G72" s="34"/>
      <c r="H72" s="34"/>
      <c r="I72" s="71"/>
      <c r="J72" s="71"/>
      <c r="K72" s="71"/>
      <c r="L72" s="71"/>
      <c r="M72" s="71"/>
      <c r="N72" s="71"/>
      <c r="O72" s="242"/>
      <c r="P72" s="242"/>
      <c r="Q72" s="242"/>
      <c r="R72" s="242"/>
      <c r="S72" s="322"/>
      <c r="T72" s="71"/>
    </row>
    <row r="73" spans="1:21">
      <c r="A73" s="133" t="s">
        <v>121</v>
      </c>
      <c r="B73" s="34"/>
      <c r="C73" s="34"/>
      <c r="D73" s="10"/>
      <c r="E73" s="12"/>
      <c r="F73" s="34"/>
      <c r="G73" s="34"/>
      <c r="H73" s="34"/>
      <c r="I73" s="71"/>
      <c r="J73" s="71"/>
      <c r="K73" s="71"/>
      <c r="L73" s="71"/>
      <c r="M73" s="71"/>
      <c r="N73" s="71"/>
      <c r="O73" s="242">
        <v>6961.53</v>
      </c>
      <c r="P73" s="242"/>
      <c r="Q73" s="242"/>
      <c r="R73" s="242"/>
      <c r="S73" s="322"/>
      <c r="T73" s="71"/>
    </row>
    <row r="74" spans="1:21">
      <c r="A74" s="133" t="s">
        <v>162</v>
      </c>
      <c r="B74" s="34"/>
      <c r="C74" s="34"/>
      <c r="D74" s="10"/>
      <c r="E74" s="12"/>
      <c r="F74" s="34"/>
      <c r="G74" s="34"/>
      <c r="H74" s="34"/>
      <c r="I74" s="71"/>
      <c r="J74" s="71"/>
      <c r="K74" s="71"/>
      <c r="L74" s="71"/>
      <c r="M74" s="71"/>
      <c r="N74" s="71"/>
      <c r="O74" s="242"/>
      <c r="P74" s="242">
        <v>6889</v>
      </c>
      <c r="Q74" s="242">
        <v>17972.37</v>
      </c>
      <c r="R74" s="242">
        <v>17972.37</v>
      </c>
      <c r="S74" s="322">
        <v>23000</v>
      </c>
      <c r="T74" s="71">
        <v>16000</v>
      </c>
      <c r="U74" s="321"/>
    </row>
    <row r="75" spans="1:21">
      <c r="A75" s="133" t="s">
        <v>163</v>
      </c>
      <c r="B75" s="34"/>
      <c r="C75" s="34"/>
      <c r="D75" s="10"/>
      <c r="E75" s="12"/>
      <c r="F75" s="34"/>
      <c r="G75" s="34"/>
      <c r="H75" s="34"/>
      <c r="I75" s="71"/>
      <c r="J75" s="71"/>
      <c r="K75" s="71"/>
      <c r="L75" s="71"/>
      <c r="M75" s="71"/>
      <c r="N75" s="71"/>
      <c r="O75" s="242"/>
      <c r="P75" s="242">
        <v>3049</v>
      </c>
      <c r="Q75" s="242">
        <v>2608.52</v>
      </c>
      <c r="R75" s="242">
        <v>2932.29</v>
      </c>
      <c r="S75" s="322">
        <v>2750</v>
      </c>
      <c r="T75" s="71">
        <v>2750</v>
      </c>
      <c r="U75" s="321"/>
    </row>
    <row r="76" spans="1:21" s="7" customFormat="1">
      <c r="A76" s="48" t="s">
        <v>171</v>
      </c>
      <c r="B76" s="59">
        <v>52074</v>
      </c>
      <c r="C76" s="59">
        <v>772</v>
      </c>
      <c r="D76" s="38">
        <v>21149</v>
      </c>
      <c r="E76" s="33">
        <v>2926</v>
      </c>
      <c r="F76" s="59">
        <v>11823</v>
      </c>
      <c r="G76" s="59">
        <v>3090</v>
      </c>
      <c r="H76" s="59"/>
      <c r="I76" s="71">
        <f>250-500</f>
        <v>-250</v>
      </c>
      <c r="J76" s="71">
        <v>1000</v>
      </c>
      <c r="K76" s="71">
        <v>400</v>
      </c>
      <c r="L76" s="71"/>
      <c r="M76" s="71">
        <v>1450</v>
      </c>
      <c r="N76" s="71">
        <v>280.69</v>
      </c>
      <c r="O76" s="242">
        <v>1922.38</v>
      </c>
      <c r="P76" s="242">
        <v>10175</v>
      </c>
      <c r="Q76" s="242">
        <f>6601.05</f>
        <v>6601.05</v>
      </c>
      <c r="R76" s="242">
        <f>6654.79</f>
        <v>6654.79</v>
      </c>
      <c r="S76" s="322">
        <v>5000</v>
      </c>
      <c r="T76" s="71"/>
      <c r="U76" s="321"/>
    </row>
    <row r="77" spans="1:21">
      <c r="A77" s="45" t="s">
        <v>33</v>
      </c>
      <c r="B77" s="34">
        <v>232.5</v>
      </c>
      <c r="C77" s="34">
        <v>732</v>
      </c>
      <c r="D77" s="10">
        <v>1519</v>
      </c>
      <c r="E77" s="12"/>
      <c r="F77" s="34">
        <f t="shared" ref="F77" si="18">860.34+45.79</f>
        <v>906.13</v>
      </c>
      <c r="G77" s="34">
        <v>250</v>
      </c>
      <c r="H77" s="57"/>
      <c r="I77" s="72">
        <v>17.68</v>
      </c>
      <c r="J77" s="71"/>
      <c r="K77" s="72"/>
      <c r="L77" s="72">
        <v>-108.74</v>
      </c>
      <c r="M77" s="72">
        <v>380.03</v>
      </c>
      <c r="N77" s="72"/>
      <c r="O77" s="244">
        <v>2771.47</v>
      </c>
      <c r="P77" s="244">
        <v>64</v>
      </c>
      <c r="Q77" s="244">
        <f>150+1044.64</f>
        <v>1194.6400000000001</v>
      </c>
      <c r="R77" s="242">
        <f>150+1044.64</f>
        <v>1194.6400000000001</v>
      </c>
      <c r="S77" s="322"/>
      <c r="T77" s="71"/>
    </row>
    <row r="78" spans="1:21">
      <c r="A78" s="92" t="s">
        <v>34</v>
      </c>
      <c r="B78" s="89">
        <f t="shared" ref="B78:M78" si="19">SUM(B62:B77)</f>
        <v>174387.25999999998</v>
      </c>
      <c r="C78" s="89">
        <f t="shared" si="19"/>
        <v>113861</v>
      </c>
      <c r="D78" s="90">
        <f t="shared" si="19"/>
        <v>314584</v>
      </c>
      <c r="E78" s="91">
        <f t="shared" si="19"/>
        <v>110098.88999999998</v>
      </c>
      <c r="F78" s="89">
        <f t="shared" si="19"/>
        <v>119038.9</v>
      </c>
      <c r="G78" s="89">
        <f t="shared" si="19"/>
        <v>159360.55000000002</v>
      </c>
      <c r="H78" s="89">
        <f t="shared" si="19"/>
        <v>164059.43</v>
      </c>
      <c r="I78" s="91">
        <f t="shared" si="19"/>
        <v>162238.37</v>
      </c>
      <c r="J78" s="90">
        <f t="shared" si="19"/>
        <v>222335.43</v>
      </c>
      <c r="K78" s="208">
        <f t="shared" si="19"/>
        <v>201746.32</v>
      </c>
      <c r="L78" s="208">
        <f t="shared" si="19"/>
        <v>200089.97</v>
      </c>
      <c r="M78" s="208">
        <f t="shared" si="19"/>
        <v>223217.12</v>
      </c>
      <c r="N78" s="208">
        <f t="shared" ref="N78" si="20">SUM(N62:N77)</f>
        <v>10142.83</v>
      </c>
      <c r="O78" s="208">
        <f>SUM(O62:O77)</f>
        <v>115915.70999999999</v>
      </c>
      <c r="P78" s="208">
        <f>SUM(P62:P77)</f>
        <v>356497</v>
      </c>
      <c r="Q78" s="208">
        <f>SUM(Q62:Q77)</f>
        <v>439959.50000000006</v>
      </c>
      <c r="R78" s="208">
        <f>SUM(R62:R77)</f>
        <v>449042.82</v>
      </c>
      <c r="S78" s="208">
        <f t="shared" ref="S78" si="21">SUM(S62:S77)</f>
        <v>545750</v>
      </c>
      <c r="T78" s="208">
        <f t="shared" ref="T78" si="22">SUM(T62:T77)</f>
        <v>424750</v>
      </c>
    </row>
    <row r="79" spans="1:21" ht="13.5" thickBot="1">
      <c r="A79" s="10"/>
      <c r="B79" s="67"/>
      <c r="C79" s="34"/>
      <c r="D79" s="10"/>
      <c r="E79" s="12"/>
      <c r="F79" s="34"/>
      <c r="G79" s="34"/>
      <c r="H79" s="34"/>
      <c r="I79" s="12"/>
      <c r="J79" s="10"/>
      <c r="K79" s="10"/>
      <c r="L79" s="10"/>
      <c r="M79" s="10"/>
      <c r="N79" s="10"/>
      <c r="O79" s="201"/>
      <c r="P79" s="201"/>
      <c r="Q79" s="201"/>
      <c r="R79" s="201"/>
      <c r="S79" s="189"/>
      <c r="T79" s="189"/>
    </row>
    <row r="80" spans="1:21" hidden="1">
      <c r="A80" s="158" t="s">
        <v>85</v>
      </c>
      <c r="B80" s="157"/>
      <c r="C80" s="157"/>
      <c r="D80" s="157"/>
      <c r="E80" s="157"/>
      <c r="F80" s="157"/>
      <c r="G80" s="157"/>
      <c r="H80" s="157"/>
      <c r="I80" s="158"/>
      <c r="J80" s="158"/>
      <c r="K80" s="158"/>
      <c r="L80" s="157"/>
      <c r="M80" s="157"/>
      <c r="N80" s="157"/>
      <c r="O80" s="209"/>
      <c r="P80" s="209"/>
      <c r="Q80" s="209"/>
      <c r="R80" s="209"/>
      <c r="S80" s="157"/>
      <c r="T80" s="157"/>
      <c r="U80" s="156"/>
    </row>
    <row r="81" spans="1:58" s="16" customFormat="1" hidden="1">
      <c r="A81" s="122" t="s">
        <v>84</v>
      </c>
      <c r="B81" s="123"/>
      <c r="C81" s="123"/>
      <c r="D81" s="124"/>
      <c r="E81" s="125"/>
      <c r="F81" s="123"/>
      <c r="G81" s="123"/>
      <c r="H81" s="125"/>
      <c r="I81" s="150">
        <f>I80</f>
        <v>0</v>
      </c>
      <c r="J81" s="159">
        <f>J80</f>
        <v>0</v>
      </c>
      <c r="K81" s="159">
        <f>K80</f>
        <v>0</v>
      </c>
      <c r="L81" s="159">
        <f t="shared" ref="L81:M81" si="23">L80</f>
        <v>0</v>
      </c>
      <c r="M81" s="159">
        <f t="shared" si="23"/>
        <v>0</v>
      </c>
      <c r="N81" s="159">
        <f t="shared" ref="N81:O81" si="24">N80</f>
        <v>0</v>
      </c>
      <c r="O81" s="210">
        <f t="shared" si="24"/>
        <v>0</v>
      </c>
      <c r="P81" s="210">
        <f t="shared" ref="P81:Q81" si="25">P80</f>
        <v>0</v>
      </c>
      <c r="Q81" s="210">
        <f t="shared" si="25"/>
        <v>0</v>
      </c>
      <c r="R81" s="210"/>
      <c r="S81" s="159">
        <f t="shared" ref="S81" si="26">S80</f>
        <v>0</v>
      </c>
      <c r="T81" s="159">
        <f t="shared" ref="T81" si="27">T80</f>
        <v>0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1:58" ht="13.5" thickBot="1">
      <c r="A82" s="15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201"/>
      <c r="P82" s="201"/>
      <c r="Q82" s="201"/>
      <c r="R82" s="201"/>
      <c r="S82" s="10"/>
      <c r="T82" s="10"/>
    </row>
    <row r="83" spans="1:58">
      <c r="A83" s="49" t="s">
        <v>35</v>
      </c>
      <c r="B83" s="60">
        <v>379656.51</v>
      </c>
      <c r="C83" s="60">
        <v>397590</v>
      </c>
      <c r="D83" s="39">
        <v>404913</v>
      </c>
      <c r="E83" s="19">
        <v>418533</v>
      </c>
      <c r="F83" s="60">
        <v>441252.09</v>
      </c>
      <c r="G83" s="60">
        <v>566349.82999999996</v>
      </c>
      <c r="H83" s="60">
        <v>540546.80000000005</v>
      </c>
      <c r="I83" s="60">
        <v>528024.73</v>
      </c>
      <c r="J83" s="60">
        <v>693215.24</v>
      </c>
      <c r="K83" s="60">
        <v>652697.16</v>
      </c>
      <c r="L83" s="60">
        <v>567351.36</v>
      </c>
      <c r="M83" s="60">
        <v>644244.63</v>
      </c>
      <c r="N83" s="60">
        <v>551675.5</v>
      </c>
      <c r="O83" s="60">
        <v>694514.54</v>
      </c>
      <c r="P83" s="60">
        <v>653773</v>
      </c>
      <c r="Q83" s="60">
        <v>517468.18</v>
      </c>
      <c r="R83" s="60">
        <f>715000+17000</f>
        <v>732000</v>
      </c>
      <c r="S83" s="348">
        <v>850000</v>
      </c>
      <c r="T83" s="60">
        <v>740000</v>
      </c>
      <c r="U83" s="321" t="s">
        <v>333</v>
      </c>
      <c r="W83" s="160"/>
    </row>
    <row r="84" spans="1:58">
      <c r="A84" s="50" t="s">
        <v>36</v>
      </c>
      <c r="B84" s="34">
        <v>1243.94</v>
      </c>
      <c r="C84" s="34">
        <v>1919</v>
      </c>
      <c r="D84" s="10">
        <v>1812</v>
      </c>
      <c r="E84" s="12">
        <v>2141</v>
      </c>
      <c r="F84" s="34">
        <v>2198.96</v>
      </c>
      <c r="G84" s="34">
        <v>3759.85</v>
      </c>
      <c r="H84" s="34">
        <v>4131.96</v>
      </c>
      <c r="I84" s="34">
        <v>3185.05</v>
      </c>
      <c r="J84" s="73">
        <v>3122.56</v>
      </c>
      <c r="K84" s="73">
        <v>4066.43</v>
      </c>
      <c r="L84" s="73">
        <v>2234.33</v>
      </c>
      <c r="M84" s="73">
        <v>3304.66</v>
      </c>
      <c r="N84" s="73">
        <v>2334.4</v>
      </c>
      <c r="O84" s="73">
        <v>2681.12</v>
      </c>
      <c r="P84" s="73">
        <v>3624</v>
      </c>
      <c r="Q84" s="73">
        <v>2773.09</v>
      </c>
      <c r="R84" s="73">
        <v>3221.81</v>
      </c>
      <c r="S84" s="274">
        <v>3500</v>
      </c>
      <c r="T84" s="73">
        <v>3500</v>
      </c>
      <c r="U84" s="321" t="s">
        <v>325</v>
      </c>
    </row>
    <row r="85" spans="1:58">
      <c r="A85" s="50" t="s">
        <v>37</v>
      </c>
      <c r="B85" s="34">
        <v>32</v>
      </c>
      <c r="C85" s="34">
        <v>2885</v>
      </c>
      <c r="D85" s="10">
        <v>477</v>
      </c>
      <c r="E85" s="12">
        <v>275</v>
      </c>
      <c r="F85" s="34">
        <v>1166.48</v>
      </c>
      <c r="G85" s="34">
        <v>2653.89</v>
      </c>
      <c r="H85" s="34">
        <v>12568.83</v>
      </c>
      <c r="I85" s="34">
        <v>-1205.3399999999999</v>
      </c>
      <c r="J85" s="73">
        <v>34</v>
      </c>
      <c r="K85" s="73">
        <v>1684.35</v>
      </c>
      <c r="L85" s="73">
        <v>1019.63</v>
      </c>
      <c r="M85" s="73">
        <v>35</v>
      </c>
      <c r="N85" s="73">
        <v>692.66</v>
      </c>
      <c r="O85" s="73">
        <v>430.26</v>
      </c>
      <c r="P85" s="73">
        <v>57</v>
      </c>
      <c r="Q85" s="73">
        <v>38</v>
      </c>
      <c r="R85" s="73">
        <v>38</v>
      </c>
      <c r="S85" s="329">
        <v>1000</v>
      </c>
      <c r="T85" s="73">
        <v>50</v>
      </c>
      <c r="U85" s="330" t="s">
        <v>311</v>
      </c>
      <c r="W85" s="177"/>
    </row>
    <row r="86" spans="1:58">
      <c r="A86" s="50" t="s">
        <v>38</v>
      </c>
      <c r="B86" s="34">
        <v>4994.05</v>
      </c>
      <c r="C86" s="34">
        <v>5722</v>
      </c>
      <c r="D86" s="10">
        <v>6148</v>
      </c>
      <c r="E86" s="12">
        <v>6818</v>
      </c>
      <c r="F86" s="34">
        <v>7926.42</v>
      </c>
      <c r="G86" s="34">
        <f>33160.53+7577.87</f>
        <v>40738.400000000001</v>
      </c>
      <c r="H86" s="34">
        <f>15370.71+8140</f>
        <v>23510.71</v>
      </c>
      <c r="I86" s="34">
        <f>17412.97+9367.53</f>
        <v>26780.5</v>
      </c>
      <c r="J86" s="73">
        <v>9210</v>
      </c>
      <c r="K86" s="73">
        <f>193.48+10811.49</f>
        <v>11004.97</v>
      </c>
      <c r="L86" s="73">
        <f>363.13+9500</f>
        <v>9863.1299999999992</v>
      </c>
      <c r="M86" s="73">
        <f>9600+1160.4</f>
        <v>10760.4</v>
      </c>
      <c r="N86" s="73">
        <f>1862.61+9600</f>
        <v>11462.61</v>
      </c>
      <c r="O86" s="73">
        <f>9700+1541.22</f>
        <v>11241.22</v>
      </c>
      <c r="P86" s="73">
        <v>18883</v>
      </c>
      <c r="Q86" s="73">
        <f>713.68+18057.9</f>
        <v>18771.580000000002</v>
      </c>
      <c r="R86" s="73">
        <f>2071.39+18622.21</f>
        <v>20693.599999999999</v>
      </c>
      <c r="S86" s="274">
        <f>'10-8520 Audit &amp; Consulting'!F19</f>
        <v>21200</v>
      </c>
      <c r="T86" s="73">
        <v>18058</v>
      </c>
      <c r="U86" s="321" t="s">
        <v>120</v>
      </c>
    </row>
    <row r="87" spans="1:58">
      <c r="A87" s="138" t="s">
        <v>219</v>
      </c>
      <c r="B87" s="34"/>
      <c r="C87" s="34"/>
      <c r="D87" s="10"/>
      <c r="E87" s="12"/>
      <c r="F87" s="34"/>
      <c r="G87" s="34"/>
      <c r="H87" s="34"/>
      <c r="I87" s="34"/>
      <c r="J87" s="73"/>
      <c r="K87" s="73"/>
      <c r="L87" s="73"/>
      <c r="M87" s="73"/>
      <c r="N87" s="73"/>
      <c r="O87" s="73"/>
      <c r="P87" s="73"/>
      <c r="Q87" s="73"/>
      <c r="R87" s="73"/>
      <c r="S87" s="274"/>
      <c r="T87" s="73">
        <v>10000</v>
      </c>
      <c r="U87" s="321"/>
      <c r="V87" s="321"/>
      <c r="W87" s="321"/>
      <c r="X87" s="321"/>
      <c r="Y87" s="321"/>
      <c r="Z87" s="321"/>
    </row>
    <row r="88" spans="1:58">
      <c r="A88" s="50" t="s">
        <v>39</v>
      </c>
      <c r="B88" s="34">
        <v>7184.51</v>
      </c>
      <c r="C88" s="34"/>
      <c r="D88" s="10"/>
      <c r="E88" s="12"/>
      <c r="F88" s="34"/>
      <c r="G88" s="34"/>
      <c r="H88" s="34">
        <v>13435</v>
      </c>
      <c r="I88" s="34">
        <v>43683.37</v>
      </c>
      <c r="J88" s="73">
        <v>28318.49</v>
      </c>
      <c r="K88" s="73"/>
      <c r="L88" s="73">
        <v>725</v>
      </c>
      <c r="M88" s="73"/>
      <c r="N88" s="73"/>
      <c r="O88" s="73">
        <v>2160</v>
      </c>
      <c r="P88" s="73">
        <v>390</v>
      </c>
      <c r="Q88" s="73">
        <v>150</v>
      </c>
      <c r="R88" s="73">
        <v>150</v>
      </c>
      <c r="S88" s="274">
        <v>0</v>
      </c>
      <c r="T88" s="73">
        <v>500</v>
      </c>
      <c r="U88" s="321" t="s">
        <v>310</v>
      </c>
    </row>
    <row r="89" spans="1:58">
      <c r="A89" s="50" t="s">
        <v>41</v>
      </c>
      <c r="B89" s="34"/>
      <c r="C89" s="34"/>
      <c r="D89" s="10">
        <v>23944</v>
      </c>
      <c r="E89" s="12">
        <v>2448</v>
      </c>
      <c r="F89" s="34">
        <v>869.22</v>
      </c>
      <c r="G89" s="34">
        <v>4885.29</v>
      </c>
      <c r="H89" s="34">
        <v>316.58999999999997</v>
      </c>
      <c r="I89" s="240">
        <v>314.99</v>
      </c>
      <c r="J89" s="73">
        <v>217.93</v>
      </c>
      <c r="K89" s="73">
        <v>558.82000000000005</v>
      </c>
      <c r="L89" s="73">
        <v>66016.7</v>
      </c>
      <c r="M89" s="73">
        <v>9831.09</v>
      </c>
      <c r="N89" s="73">
        <v>941.79</v>
      </c>
      <c r="O89" s="73">
        <v>3057.68</v>
      </c>
      <c r="P89" s="73">
        <v>10364</v>
      </c>
      <c r="Q89" s="73">
        <v>4452.62</v>
      </c>
      <c r="R89" s="73">
        <v>4973.95</v>
      </c>
      <c r="S89" s="274">
        <f>'10-5130 Donor recognition'!C7</f>
        <v>6000</v>
      </c>
      <c r="T89" s="73">
        <v>4000</v>
      </c>
      <c r="U89" s="321" t="s">
        <v>120</v>
      </c>
    </row>
    <row r="90" spans="1:58">
      <c r="A90" s="50" t="s">
        <v>42</v>
      </c>
      <c r="B90" s="34">
        <v>718.46</v>
      </c>
      <c r="C90" s="34">
        <v>532</v>
      </c>
      <c r="D90" s="10">
        <v>1171</v>
      </c>
      <c r="E90" s="12">
        <v>1770</v>
      </c>
      <c r="F90" s="34">
        <v>193.48</v>
      </c>
      <c r="G90" s="34">
        <v>1295.77</v>
      </c>
      <c r="H90" s="240">
        <v>212.95</v>
      </c>
      <c r="I90" s="240">
        <v>212.95</v>
      </c>
      <c r="J90" s="73">
        <v>309.08999999999997</v>
      </c>
      <c r="K90" s="73">
        <v>314.33999999999997</v>
      </c>
      <c r="L90" s="73">
        <v>319.68</v>
      </c>
      <c r="M90" s="73">
        <v>325.12</v>
      </c>
      <c r="N90" s="73">
        <v>331.63</v>
      </c>
      <c r="O90" s="73">
        <v>989.09</v>
      </c>
      <c r="P90" s="73">
        <v>257</v>
      </c>
      <c r="Q90" s="73">
        <v>257.07</v>
      </c>
      <c r="R90" s="73">
        <v>257.07</v>
      </c>
      <c r="S90" s="329">
        <f>'10-7055 Dues and Memberships'!C10</f>
        <v>1150</v>
      </c>
      <c r="T90" s="73">
        <v>300</v>
      </c>
      <c r="U90" s="321" t="s">
        <v>335</v>
      </c>
    </row>
    <row r="91" spans="1:58">
      <c r="A91" s="50" t="s">
        <v>43</v>
      </c>
      <c r="B91" s="34">
        <v>6020.06</v>
      </c>
      <c r="C91" s="34">
        <v>3476</v>
      </c>
      <c r="D91" s="10">
        <v>4493</v>
      </c>
      <c r="E91" s="12">
        <v>3862</v>
      </c>
      <c r="F91" s="34">
        <v>3139.54</v>
      </c>
      <c r="G91" s="34">
        <v>4766.6000000000004</v>
      </c>
      <c r="H91" s="34">
        <v>7644.45</v>
      </c>
      <c r="I91" s="240">
        <v>10445.61</v>
      </c>
      <c r="J91" s="73">
        <v>5311.03</v>
      </c>
      <c r="K91" s="73">
        <v>6933.66</v>
      </c>
      <c r="L91" s="73">
        <v>10960.85</v>
      </c>
      <c r="M91" s="73">
        <v>8179.43</v>
      </c>
      <c r="N91" s="73">
        <v>5915.36</v>
      </c>
      <c r="O91" s="73">
        <v>6962.39</v>
      </c>
      <c r="P91" s="73">
        <v>8567</v>
      </c>
      <c r="Q91" s="73">
        <v>8907.7900000000009</v>
      </c>
      <c r="R91" s="73">
        <v>11615.19</v>
      </c>
      <c r="S91" s="274">
        <v>11800</v>
      </c>
      <c r="T91" s="73">
        <v>8800</v>
      </c>
      <c r="U91" s="321" t="s">
        <v>326</v>
      </c>
      <c r="Z91" s="166"/>
    </row>
    <row r="92" spans="1:58">
      <c r="A92" s="50" t="s">
        <v>44</v>
      </c>
      <c r="B92" s="34">
        <v>6518.08</v>
      </c>
      <c r="C92" s="34">
        <v>3436</v>
      </c>
      <c r="D92" s="10">
        <v>3471</v>
      </c>
      <c r="E92" s="12">
        <v>2896</v>
      </c>
      <c r="F92" s="34">
        <v>2597.6799999999998</v>
      </c>
      <c r="G92" s="34">
        <v>3352.9</v>
      </c>
      <c r="H92" s="240">
        <v>4281.75</v>
      </c>
      <c r="I92" s="240">
        <v>5462.69</v>
      </c>
      <c r="J92" s="73">
        <v>5901.68</v>
      </c>
      <c r="K92" s="73">
        <v>4839.1000000000004</v>
      </c>
      <c r="L92" s="73">
        <v>4289.3999999999996</v>
      </c>
      <c r="M92" s="73">
        <v>3518.92</v>
      </c>
      <c r="N92" s="73">
        <v>3036.62</v>
      </c>
      <c r="O92" s="73">
        <v>3687.86</v>
      </c>
      <c r="P92" s="73">
        <v>5706</v>
      </c>
      <c r="Q92" s="73">
        <v>3474.24</v>
      </c>
      <c r="R92" s="73">
        <v>4409.79</v>
      </c>
      <c r="S92" s="329">
        <f>'10-8115 telephone'!C13</f>
        <v>6500</v>
      </c>
      <c r="T92" s="73">
        <v>5700</v>
      </c>
      <c r="U92" s="330" t="s">
        <v>120</v>
      </c>
    </row>
    <row r="93" spans="1:58">
      <c r="A93" s="50" t="s">
        <v>45</v>
      </c>
      <c r="B93" s="34">
        <v>2145.27</v>
      </c>
      <c r="C93" s="34">
        <v>2134</v>
      </c>
      <c r="D93" s="10">
        <v>2376</v>
      </c>
      <c r="E93" s="12">
        <v>2412</v>
      </c>
      <c r="F93" s="34">
        <v>2344.65</v>
      </c>
      <c r="G93" s="34">
        <v>3988.18</v>
      </c>
      <c r="H93" s="240">
        <v>3120.01</v>
      </c>
      <c r="I93" s="240">
        <v>3021.84</v>
      </c>
      <c r="J93" s="73">
        <v>4062.31</v>
      </c>
      <c r="K93" s="73">
        <v>2021.91</v>
      </c>
      <c r="L93" s="73">
        <v>2905.7</v>
      </c>
      <c r="M93" s="73">
        <v>2529.46</v>
      </c>
      <c r="N93" s="73">
        <v>163.16</v>
      </c>
      <c r="O93" s="73">
        <v>507.47</v>
      </c>
      <c r="P93" s="73">
        <v>3839</v>
      </c>
      <c r="Q93" s="73">
        <v>5637.34</v>
      </c>
      <c r="R93" s="73">
        <v>7465.05</v>
      </c>
      <c r="S93" s="274">
        <v>7000</v>
      </c>
      <c r="T93" s="73">
        <v>3500</v>
      </c>
      <c r="U93" s="321"/>
    </row>
    <row r="94" spans="1:58">
      <c r="A94" s="50" t="s">
        <v>46</v>
      </c>
      <c r="B94" s="34">
        <v>6753.46</v>
      </c>
      <c r="C94" s="34">
        <v>1161</v>
      </c>
      <c r="D94" s="10">
        <v>277</v>
      </c>
      <c r="E94" s="12">
        <v>1382</v>
      </c>
      <c r="F94" s="34">
        <v>858.16</v>
      </c>
      <c r="G94" s="34">
        <v>4959.88</v>
      </c>
      <c r="H94" s="240">
        <v>1931.84</v>
      </c>
      <c r="I94" s="240">
        <v>784.98</v>
      </c>
      <c r="J94" s="73">
        <v>14528.42</v>
      </c>
      <c r="K94" s="73">
        <v>26567.759999999998</v>
      </c>
      <c r="L94" s="73">
        <v>21276.97</v>
      </c>
      <c r="M94" s="73">
        <v>7827.56</v>
      </c>
      <c r="N94" s="73">
        <v>7235.21</v>
      </c>
      <c r="O94" s="73">
        <v>20829.84</v>
      </c>
      <c r="P94" s="73">
        <v>18658</v>
      </c>
      <c r="Q94" s="73">
        <v>14863.99</v>
      </c>
      <c r="R94" s="73">
        <v>21292.63</v>
      </c>
      <c r="S94" s="274">
        <f>'10-5120 publicity'!F10</f>
        <v>12000</v>
      </c>
      <c r="T94" s="73">
        <v>23974</v>
      </c>
      <c r="U94" s="321" t="s">
        <v>120</v>
      </c>
    </row>
    <row r="95" spans="1:58">
      <c r="A95" s="138" t="s">
        <v>98</v>
      </c>
      <c r="B95" s="34">
        <v>1697.16</v>
      </c>
      <c r="C95" s="34">
        <v>2240</v>
      </c>
      <c r="D95" s="10">
        <v>2327</v>
      </c>
      <c r="E95" s="12">
        <v>2010</v>
      </c>
      <c r="F95" s="34">
        <v>2239.1799999999998</v>
      </c>
      <c r="G95" s="34">
        <v>4880.9399999999996</v>
      </c>
      <c r="H95" s="240">
        <v>10865.9</v>
      </c>
      <c r="I95" s="240">
        <v>13015.17</v>
      </c>
      <c r="J95" s="104">
        <f>16012.77+67.79</f>
        <v>16080.560000000001</v>
      </c>
      <c r="K95" s="104">
        <v>12204.78</v>
      </c>
      <c r="L95" s="73">
        <v>8605.7199999999993</v>
      </c>
      <c r="M95" s="73">
        <v>12600.23</v>
      </c>
      <c r="N95" s="73">
        <v>1061.42</v>
      </c>
      <c r="O95" s="73">
        <v>4270.33</v>
      </c>
      <c r="P95" s="73">
        <v>5284</v>
      </c>
      <c r="Q95" s="73">
        <v>5134.26</v>
      </c>
      <c r="R95" s="73">
        <v>11876.69</v>
      </c>
      <c r="S95" s="274">
        <f>'10-7050 Business Dvpt '!H17</f>
        <v>10150</v>
      </c>
      <c r="T95" s="73">
        <v>3850</v>
      </c>
      <c r="U95" s="321" t="s">
        <v>120</v>
      </c>
    </row>
    <row r="96" spans="1:58">
      <c r="A96" s="50" t="s">
        <v>47</v>
      </c>
      <c r="B96" s="34">
        <v>614.49</v>
      </c>
      <c r="C96" s="34">
        <v>557</v>
      </c>
      <c r="D96" s="10">
        <v>1157</v>
      </c>
      <c r="E96" s="12">
        <v>120</v>
      </c>
      <c r="F96" s="34">
        <v>429.06</v>
      </c>
      <c r="G96" s="34">
        <v>188.63</v>
      </c>
      <c r="H96" s="240">
        <v>739.65</v>
      </c>
      <c r="I96" s="240"/>
      <c r="J96" s="104">
        <v>0</v>
      </c>
      <c r="K96" s="104"/>
      <c r="L96" s="73"/>
      <c r="M96" s="73"/>
      <c r="N96" s="73"/>
      <c r="O96" s="73">
        <v>665.85</v>
      </c>
      <c r="P96" s="73">
        <v>3608</v>
      </c>
      <c r="Q96" s="73">
        <v>443.9</v>
      </c>
      <c r="R96" s="73">
        <v>443.9</v>
      </c>
      <c r="S96" s="274">
        <v>400</v>
      </c>
      <c r="T96" s="73">
        <v>4500</v>
      </c>
      <c r="U96" s="321"/>
    </row>
    <row r="97" spans="1:56">
      <c r="A97" s="50" t="s">
        <v>48</v>
      </c>
      <c r="B97" s="34">
        <v>5956.62</v>
      </c>
      <c r="C97" s="34">
        <v>8008</v>
      </c>
      <c r="D97" s="10">
        <v>8893</v>
      </c>
      <c r="E97" s="12">
        <v>8774</v>
      </c>
      <c r="F97" s="34">
        <f t="shared" ref="F97" si="28">11449.41+1437.12</f>
        <v>12886.529999999999</v>
      </c>
      <c r="G97" s="34">
        <f>1756.18+7613.2</f>
        <v>9369.3799999999992</v>
      </c>
      <c r="H97" s="240">
        <f>7113.06+2099.2</f>
        <v>9212.26</v>
      </c>
      <c r="I97" s="240">
        <f>10494.95+1678.5</f>
        <v>12173.45</v>
      </c>
      <c r="J97" s="104">
        <f>1889.1+13297</f>
        <v>15186.1</v>
      </c>
      <c r="K97" s="104">
        <f>2021.25+18037.24</f>
        <v>20058.490000000002</v>
      </c>
      <c r="L97" s="104">
        <f>15971.76+1941.71</f>
        <v>17913.47</v>
      </c>
      <c r="M97" s="104">
        <f>20435.61+1953.2</f>
        <v>22388.81</v>
      </c>
      <c r="N97" s="104">
        <f>12730.67+1796.9</f>
        <v>14527.57</v>
      </c>
      <c r="O97" s="73">
        <f>2010.12+13185.96</f>
        <v>15196.079999999998</v>
      </c>
      <c r="P97" s="73">
        <v>26136</v>
      </c>
      <c r="Q97" s="73">
        <f>26887.92+1610.95</f>
        <v>28498.87</v>
      </c>
      <c r="R97" s="73">
        <f>26995.56+1610.95</f>
        <v>28606.510000000002</v>
      </c>
      <c r="S97" s="274">
        <v>29000</v>
      </c>
      <c r="T97" s="73">
        <v>25000</v>
      </c>
    </row>
    <row r="98" spans="1:56">
      <c r="A98" s="50" t="s">
        <v>49</v>
      </c>
      <c r="B98" s="34"/>
      <c r="C98" s="34"/>
      <c r="D98" s="10">
        <v>6980</v>
      </c>
      <c r="E98" s="12">
        <v>6817</v>
      </c>
      <c r="F98" s="34">
        <v>7435.71</v>
      </c>
      <c r="G98" s="34">
        <v>7067.37</v>
      </c>
      <c r="H98" s="240">
        <v>2567.33</v>
      </c>
      <c r="I98" s="240">
        <v>2849.01</v>
      </c>
      <c r="J98" s="104">
        <v>2007.57</v>
      </c>
      <c r="K98" s="104">
        <v>48</v>
      </c>
      <c r="L98" s="104">
        <v>74.2</v>
      </c>
      <c r="M98" s="104">
        <v>32.5</v>
      </c>
      <c r="N98" s="104"/>
      <c r="O98" s="73">
        <v>0</v>
      </c>
      <c r="P98" s="73">
        <v>30528</v>
      </c>
      <c r="Q98" s="73"/>
      <c r="R98" s="73"/>
      <c r="S98" s="73"/>
      <c r="T98" s="73">
        <v>0</v>
      </c>
    </row>
    <row r="99" spans="1:56">
      <c r="A99" s="50" t="s">
        <v>50</v>
      </c>
      <c r="B99" s="34">
        <v>9447.11</v>
      </c>
      <c r="C99" s="34">
        <v>9509</v>
      </c>
      <c r="D99" s="10"/>
      <c r="E99" s="12">
        <v>3122</v>
      </c>
      <c r="F99" s="34">
        <v>3715</v>
      </c>
      <c r="G99" s="34">
        <v>4237.1499999999996</v>
      </c>
      <c r="H99" s="240">
        <v>4251.05</v>
      </c>
      <c r="I99" s="240">
        <v>2621</v>
      </c>
      <c r="J99" s="104">
        <v>1874.27</v>
      </c>
      <c r="K99" s="104">
        <v>2158.5100000000002</v>
      </c>
      <c r="L99" s="104">
        <v>2139.27</v>
      </c>
      <c r="M99" s="104">
        <v>1899.77</v>
      </c>
      <c r="N99" s="104">
        <v>1154.8599999999999</v>
      </c>
      <c r="O99" s="73">
        <v>595.48</v>
      </c>
      <c r="P99" s="73"/>
      <c r="Q99" s="73"/>
      <c r="R99" s="73"/>
      <c r="S99" s="73"/>
      <c r="T99" s="73"/>
    </row>
    <row r="100" spans="1:56">
      <c r="A100" s="50" t="s">
        <v>51</v>
      </c>
      <c r="B100" s="34">
        <v>1633.98</v>
      </c>
      <c r="C100" s="34"/>
      <c r="D100" s="10"/>
      <c r="E100" s="12">
        <v>120</v>
      </c>
      <c r="F100" s="34">
        <v>0</v>
      </c>
      <c r="G100" s="34"/>
      <c r="H100" s="240">
        <v>89.23</v>
      </c>
      <c r="I100" s="240"/>
      <c r="J100" s="104">
        <v>0</v>
      </c>
      <c r="K100" s="104"/>
      <c r="L100" s="104"/>
      <c r="M100" s="104"/>
      <c r="N100" s="104"/>
      <c r="O100" s="73">
        <v>519.58000000000004</v>
      </c>
      <c r="P100" s="73"/>
      <c r="Q100" s="73"/>
      <c r="R100" s="73"/>
      <c r="S100" s="73"/>
      <c r="T100" s="73"/>
    </row>
    <row r="101" spans="1:56">
      <c r="A101" s="50" t="s">
        <v>52</v>
      </c>
      <c r="B101" s="34">
        <v>5527.39</v>
      </c>
      <c r="C101" s="34">
        <v>5882</v>
      </c>
      <c r="D101" s="10">
        <v>6064</v>
      </c>
      <c r="E101" s="12">
        <v>6467</v>
      </c>
      <c r="F101" s="34">
        <v>6682.19</v>
      </c>
      <c r="G101" s="34">
        <v>7395.31</v>
      </c>
      <c r="H101" s="240">
        <v>14629.13</v>
      </c>
      <c r="I101" s="240">
        <v>10335.27</v>
      </c>
      <c r="J101" s="104">
        <v>14028.47</v>
      </c>
      <c r="K101" s="104">
        <v>14528.57</v>
      </c>
      <c r="L101" s="104">
        <v>14798.93</v>
      </c>
      <c r="M101" s="104">
        <v>17576.75</v>
      </c>
      <c r="N101" s="104">
        <v>15736.51</v>
      </c>
      <c r="O101" s="73">
        <v>19967.04</v>
      </c>
      <c r="P101" s="73"/>
      <c r="Q101" s="73">
        <v>30483.59</v>
      </c>
      <c r="R101" s="73">
        <v>31401.91</v>
      </c>
      <c r="S101" s="274">
        <f>'10-8300 software'!C20</f>
        <v>32500</v>
      </c>
      <c r="T101" s="73">
        <v>26200</v>
      </c>
      <c r="U101" s="326" t="s">
        <v>120</v>
      </c>
    </row>
    <row r="102" spans="1:56">
      <c r="A102" s="138" t="s">
        <v>181</v>
      </c>
      <c r="B102" s="34">
        <v>5728</v>
      </c>
      <c r="C102" s="34">
        <v>6300</v>
      </c>
      <c r="D102" s="10">
        <v>298</v>
      </c>
      <c r="E102" s="12"/>
      <c r="F102" s="34"/>
      <c r="G102" s="34"/>
      <c r="H102" s="240">
        <v>1537.5</v>
      </c>
      <c r="I102" s="240">
        <v>9522.86</v>
      </c>
      <c r="J102" s="104">
        <v>9757.5400000000009</v>
      </c>
      <c r="K102" s="104">
        <v>8169.04</v>
      </c>
      <c r="L102" s="104">
        <v>7835.83</v>
      </c>
      <c r="M102" s="104">
        <v>6537.79</v>
      </c>
      <c r="N102" s="104"/>
      <c r="O102" s="73"/>
      <c r="P102" s="73"/>
      <c r="Q102" s="73">
        <v>9903.7000000000007</v>
      </c>
      <c r="R102" s="73">
        <v>17965.259999999998</v>
      </c>
      <c r="S102" s="274">
        <f>'10-5125 Marketing Materials-MC'!C14</f>
        <v>13757</v>
      </c>
      <c r="T102" s="73">
        <v>24878</v>
      </c>
      <c r="U102" s="321" t="s">
        <v>120</v>
      </c>
    </row>
    <row r="103" spans="1:56">
      <c r="A103" s="50" t="s">
        <v>53</v>
      </c>
      <c r="B103" s="34">
        <v>785.48</v>
      </c>
      <c r="C103" s="34">
        <v>1074</v>
      </c>
      <c r="D103" s="10">
        <v>1104</v>
      </c>
      <c r="E103" s="12">
        <v>1306</v>
      </c>
      <c r="F103" s="34">
        <v>816.93</v>
      </c>
      <c r="G103" s="34">
        <v>312.91000000000003</v>
      </c>
      <c r="H103" s="240">
        <v>3440.02</v>
      </c>
      <c r="I103" s="240">
        <v>2793.36</v>
      </c>
      <c r="J103" s="104">
        <v>5151.93</v>
      </c>
      <c r="K103" s="104">
        <v>1814.52</v>
      </c>
      <c r="L103" s="104">
        <v>1277.78</v>
      </c>
      <c r="M103" s="104">
        <v>1589.63</v>
      </c>
      <c r="N103" s="104">
        <v>1684.88</v>
      </c>
      <c r="O103" s="73">
        <v>829.75</v>
      </c>
      <c r="P103" s="73">
        <v>1097</v>
      </c>
      <c r="Q103" s="73">
        <v>1157.74</v>
      </c>
      <c r="R103" s="73">
        <v>1157.74</v>
      </c>
      <c r="S103" s="274">
        <v>1700</v>
      </c>
      <c r="T103" s="73">
        <v>1000</v>
      </c>
      <c r="U103" s="321"/>
    </row>
    <row r="104" spans="1:56">
      <c r="A104" s="50" t="s">
        <v>54</v>
      </c>
      <c r="B104" s="34"/>
      <c r="C104" s="34"/>
      <c r="D104" s="10"/>
      <c r="E104" s="12"/>
      <c r="F104" s="34"/>
      <c r="G104" s="34">
        <v>1500</v>
      </c>
      <c r="H104" s="240">
        <v>900</v>
      </c>
      <c r="I104" s="240">
        <v>250</v>
      </c>
      <c r="J104" s="104">
        <v>0</v>
      </c>
      <c r="K104" s="104"/>
      <c r="L104" s="104"/>
      <c r="M104" s="104"/>
      <c r="N104" s="104"/>
      <c r="O104" s="73"/>
      <c r="P104" s="73"/>
      <c r="Q104" s="73"/>
      <c r="R104" s="73"/>
      <c r="S104" s="73"/>
      <c r="T104" s="73"/>
    </row>
    <row r="105" spans="1:56">
      <c r="A105" s="50" t="s">
        <v>55</v>
      </c>
      <c r="B105" s="34"/>
      <c r="C105" s="34"/>
      <c r="D105" s="10"/>
      <c r="E105" s="12">
        <v>3500</v>
      </c>
      <c r="F105" s="34"/>
      <c r="G105" s="34"/>
      <c r="H105" s="240">
        <v>14670</v>
      </c>
      <c r="I105" s="240">
        <v>2270</v>
      </c>
      <c r="J105" s="104">
        <v>10041</v>
      </c>
      <c r="K105" s="104">
        <v>2800</v>
      </c>
      <c r="L105" s="104">
        <f>5000+1500</f>
        <v>6500</v>
      </c>
      <c r="M105" s="104">
        <v>10600</v>
      </c>
      <c r="N105" s="104">
        <v>16460</v>
      </c>
      <c r="O105" s="73">
        <v>0</v>
      </c>
      <c r="P105" s="73"/>
      <c r="Q105" s="73"/>
      <c r="R105" s="73"/>
      <c r="S105" s="73"/>
      <c r="T105" s="73"/>
    </row>
    <row r="106" spans="1:56">
      <c r="A106" s="138" t="s">
        <v>229</v>
      </c>
      <c r="B106" s="34"/>
      <c r="C106" s="34"/>
      <c r="D106" s="10"/>
      <c r="E106" s="12"/>
      <c r="F106" s="34"/>
      <c r="G106" s="34"/>
      <c r="H106" s="240"/>
      <c r="I106" s="240">
        <v>27780.799999999999</v>
      </c>
      <c r="J106" s="104"/>
      <c r="K106" s="104"/>
      <c r="L106" s="104">
        <v>55469</v>
      </c>
      <c r="M106" s="104"/>
      <c r="N106" s="104"/>
      <c r="O106" s="73">
        <v>20843.099999999999</v>
      </c>
      <c r="P106" s="73">
        <v>51282</v>
      </c>
      <c r="Q106" s="73">
        <f>9000+43267.98</f>
        <v>52267.98</v>
      </c>
      <c r="R106" s="73">
        <f>50605.98+9000</f>
        <v>59605.98</v>
      </c>
      <c r="S106" s="274">
        <v>55000</v>
      </c>
      <c r="T106" s="73">
        <v>40000</v>
      </c>
      <c r="U106" s="321"/>
    </row>
    <row r="107" spans="1:56">
      <c r="A107" s="138" t="s">
        <v>165</v>
      </c>
      <c r="B107" s="34"/>
      <c r="C107" s="34"/>
      <c r="D107" s="10"/>
      <c r="E107" s="12"/>
      <c r="F107" s="34"/>
      <c r="G107" s="34"/>
      <c r="H107" s="34">
        <f>1500+3000+11305</f>
        <v>15805</v>
      </c>
      <c r="I107" s="34">
        <v>11305</v>
      </c>
      <c r="J107" s="104">
        <v>11305</v>
      </c>
      <c r="K107" s="104">
        <v>11305</v>
      </c>
      <c r="L107" s="104">
        <v>470.2</v>
      </c>
      <c r="M107" s="104">
        <v>5691.34</v>
      </c>
      <c r="N107" s="104">
        <v>4561.5</v>
      </c>
      <c r="O107" s="73">
        <f>429+8003.31</f>
        <v>8432.3100000000013</v>
      </c>
      <c r="P107" s="73">
        <v>1785</v>
      </c>
      <c r="Q107" s="73">
        <v>9688</v>
      </c>
      <c r="R107" s="73">
        <v>9687.5</v>
      </c>
      <c r="S107" s="329">
        <v>9688</v>
      </c>
      <c r="T107" s="73">
        <v>9688</v>
      </c>
      <c r="U107" s="321" t="s">
        <v>119</v>
      </c>
    </row>
    <row r="108" spans="1:56">
      <c r="A108" s="51" t="s">
        <v>56</v>
      </c>
      <c r="B108" s="61">
        <v>975.85</v>
      </c>
      <c r="C108" s="61">
        <v>1406</v>
      </c>
      <c r="D108" s="40"/>
      <c r="E108" s="21"/>
      <c r="F108" s="61">
        <v>391.05</v>
      </c>
      <c r="G108" s="61"/>
      <c r="H108" s="61"/>
      <c r="I108" s="61"/>
      <c r="J108" s="74">
        <v>0</v>
      </c>
      <c r="K108" s="74"/>
      <c r="L108" s="74"/>
      <c r="M108" s="74">
        <v>1345.2</v>
      </c>
      <c r="N108" s="134"/>
      <c r="O108" s="211"/>
      <c r="P108" s="211"/>
      <c r="Q108" s="260">
        <v>548.92999999999995</v>
      </c>
      <c r="R108" s="260">
        <v>548.92999999999995</v>
      </c>
      <c r="S108" s="74"/>
      <c r="T108" s="74"/>
    </row>
    <row r="109" spans="1:56" s="22" customFormat="1">
      <c r="A109" s="95" t="s">
        <v>57</v>
      </c>
      <c r="B109" s="93">
        <f t="shared" ref="B109:T109" si="29">SUM(B83:B108)</f>
        <v>447632.42</v>
      </c>
      <c r="C109" s="93">
        <f t="shared" si="29"/>
        <v>453831</v>
      </c>
      <c r="D109" s="94">
        <f t="shared" si="29"/>
        <v>475905</v>
      </c>
      <c r="E109" s="96">
        <f t="shared" si="29"/>
        <v>474773</v>
      </c>
      <c r="F109" s="93">
        <f t="shared" si="29"/>
        <v>497142.32999999996</v>
      </c>
      <c r="G109" s="93">
        <f t="shared" si="29"/>
        <v>671702.28000000014</v>
      </c>
      <c r="H109" s="93">
        <f t="shared" si="29"/>
        <v>690407.95999999985</v>
      </c>
      <c r="I109" s="93">
        <f t="shared" si="29"/>
        <v>715627.28999999992</v>
      </c>
      <c r="J109" s="94">
        <f t="shared" si="29"/>
        <v>849663.19000000029</v>
      </c>
      <c r="K109" s="212">
        <f t="shared" si="29"/>
        <v>783775.41</v>
      </c>
      <c r="L109" s="212">
        <f t="shared" si="29"/>
        <v>802047.14999999979</v>
      </c>
      <c r="M109" s="212">
        <f t="shared" si="29"/>
        <v>770818.29000000015</v>
      </c>
      <c r="N109" s="212">
        <f t="shared" si="29"/>
        <v>638975.68000000005</v>
      </c>
      <c r="O109" s="212">
        <f t="shared" si="29"/>
        <v>818380.98999999987</v>
      </c>
      <c r="P109" s="212">
        <f t="shared" si="29"/>
        <v>843838</v>
      </c>
      <c r="Q109" s="212">
        <f t="shared" ref="Q109:R109" si="30">SUM(Q83:Q108)</f>
        <v>714920.86999999988</v>
      </c>
      <c r="R109" s="212">
        <f t="shared" si="30"/>
        <v>967411.51</v>
      </c>
      <c r="S109" s="212">
        <f t="shared" si="29"/>
        <v>1072345</v>
      </c>
      <c r="T109" s="212">
        <f t="shared" si="29"/>
        <v>953498</v>
      </c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</row>
    <row r="110" spans="1:56" s="7" customFormat="1" ht="13.5" thickBot="1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05"/>
      <c r="P110" s="205"/>
      <c r="Q110" s="205"/>
      <c r="R110" s="205"/>
      <c r="S110" s="38"/>
      <c r="T110" s="38"/>
    </row>
    <row r="111" spans="1:56" s="23" customFormat="1">
      <c r="A111" s="100" t="s">
        <v>58</v>
      </c>
      <c r="B111" s="101">
        <f t="shared" ref="B111:T111" si="31">B60+B78+B109+B81</f>
        <v>783255.35</v>
      </c>
      <c r="C111" s="101">
        <f t="shared" si="31"/>
        <v>693471</v>
      </c>
      <c r="D111" s="101">
        <f t="shared" si="31"/>
        <v>939242</v>
      </c>
      <c r="E111" s="101">
        <f t="shared" si="31"/>
        <v>723339.89</v>
      </c>
      <c r="F111" s="101">
        <f t="shared" si="31"/>
        <v>756558.41999999993</v>
      </c>
      <c r="G111" s="101">
        <f t="shared" si="31"/>
        <v>972519.28000000014</v>
      </c>
      <c r="H111" s="103">
        <f t="shared" si="31"/>
        <v>920369.82999999984</v>
      </c>
      <c r="I111" s="149">
        <f t="shared" si="31"/>
        <v>914651.90999999992</v>
      </c>
      <c r="J111" s="149">
        <f t="shared" si="31"/>
        <v>1116476.0100000002</v>
      </c>
      <c r="K111" s="149">
        <f t="shared" si="31"/>
        <v>1023844.14</v>
      </c>
      <c r="L111" s="149">
        <f t="shared" si="31"/>
        <v>1061958.6799999997</v>
      </c>
      <c r="M111" s="149">
        <f t="shared" si="31"/>
        <v>1075620.5900000001</v>
      </c>
      <c r="N111" s="207">
        <f t="shared" si="31"/>
        <v>715110.83000000007</v>
      </c>
      <c r="O111" s="207">
        <f t="shared" si="31"/>
        <v>1006628.6899999998</v>
      </c>
      <c r="P111" s="207">
        <f t="shared" si="31"/>
        <v>1302532</v>
      </c>
      <c r="Q111" s="207">
        <f t="shared" si="31"/>
        <v>1219601.25</v>
      </c>
      <c r="R111" s="207">
        <f t="shared" si="31"/>
        <v>1499041.56</v>
      </c>
      <c r="S111" s="207">
        <f t="shared" si="31"/>
        <v>1707325</v>
      </c>
      <c r="T111" s="207">
        <f t="shared" si="31"/>
        <v>1487248</v>
      </c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</row>
    <row r="112" spans="1:56" s="9" customFormat="1" ht="13.5" thickBot="1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38"/>
      <c r="O112" s="205"/>
      <c r="P112" s="205"/>
      <c r="Q112" s="205"/>
      <c r="R112" s="205"/>
      <c r="S112" s="38"/>
      <c r="T112" s="38"/>
    </row>
    <row r="113" spans="1:56" s="23" customFormat="1">
      <c r="A113" s="100" t="s">
        <v>59</v>
      </c>
      <c r="B113" s="101">
        <f t="shared" ref="B113:T113" si="32">B53-B111</f>
        <v>1257799.1300000004</v>
      </c>
      <c r="C113" s="101">
        <f t="shared" si="32"/>
        <v>1310010</v>
      </c>
      <c r="D113" s="102">
        <f t="shared" si="32"/>
        <v>1248805</v>
      </c>
      <c r="E113" s="103">
        <f t="shared" si="32"/>
        <v>1590615.1099999999</v>
      </c>
      <c r="F113" s="101">
        <f t="shared" si="32"/>
        <v>3399405.7899999996</v>
      </c>
      <c r="G113" s="101">
        <f t="shared" si="32"/>
        <v>1096469.9299999997</v>
      </c>
      <c r="H113" s="103">
        <f t="shared" si="32"/>
        <v>2859681.3499999996</v>
      </c>
      <c r="I113" s="149">
        <f t="shared" si="32"/>
        <v>3390979.5199999996</v>
      </c>
      <c r="J113" s="102">
        <f t="shared" si="32"/>
        <v>3760351.7399999998</v>
      </c>
      <c r="K113" s="102">
        <f t="shared" si="32"/>
        <v>3004081.18</v>
      </c>
      <c r="L113" s="102">
        <f t="shared" si="32"/>
        <v>1076920.6500000004</v>
      </c>
      <c r="M113" s="149">
        <f t="shared" si="32"/>
        <v>895411.80000000028</v>
      </c>
      <c r="N113" s="207">
        <f t="shared" si="32"/>
        <v>1390660.1999999997</v>
      </c>
      <c r="O113" s="207">
        <f t="shared" si="32"/>
        <v>2820295.9699999997</v>
      </c>
      <c r="P113" s="207">
        <f t="shared" si="32"/>
        <v>977775.18000000017</v>
      </c>
      <c r="Q113" s="207">
        <f t="shared" si="32"/>
        <v>2049485.25</v>
      </c>
      <c r="R113" s="207">
        <f t="shared" si="32"/>
        <v>2165358.79</v>
      </c>
      <c r="S113" s="207">
        <f t="shared" si="32"/>
        <v>1764863</v>
      </c>
      <c r="T113" s="207">
        <f t="shared" si="32"/>
        <v>1268890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56" s="9" customFormat="1" ht="13.5" thickBot="1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38"/>
      <c r="O114" s="205"/>
      <c r="P114" s="205"/>
      <c r="Q114" s="205"/>
      <c r="R114" s="205"/>
      <c r="S114" s="38"/>
      <c r="T114" s="38"/>
    </row>
    <row r="115" spans="1:56">
      <c r="A115" s="52" t="s">
        <v>60</v>
      </c>
      <c r="B115" s="62">
        <f t="shared" ref="B115:K115" si="33">B10+B12+B13+B15+B17+B39+B40+B42+B43+B44+B45+B46+B47+B48</f>
        <v>1480827.37</v>
      </c>
      <c r="C115" s="62">
        <f t="shared" si="33"/>
        <v>1505962</v>
      </c>
      <c r="D115" s="62">
        <f t="shared" si="33"/>
        <v>1227614</v>
      </c>
      <c r="E115" s="62">
        <f t="shared" si="33"/>
        <v>1592331</v>
      </c>
      <c r="F115" s="107">
        <f t="shared" si="33"/>
        <v>3335924.7499999995</v>
      </c>
      <c r="G115" s="62">
        <f t="shared" si="33"/>
        <v>1298226.72</v>
      </c>
      <c r="H115" s="62">
        <f t="shared" si="33"/>
        <v>3190770.9199999995</v>
      </c>
      <c r="I115" s="62">
        <f t="shared" si="33"/>
        <v>3671131.96</v>
      </c>
      <c r="J115" s="75">
        <f t="shared" si="33"/>
        <v>4088999.1300000004</v>
      </c>
      <c r="K115" s="75">
        <f t="shared" si="33"/>
        <v>3279559.8100000005</v>
      </c>
      <c r="L115" s="213">
        <f>L10+L12+L14+L15+L17+L39+L40+L42+L43+L44+L45+L46+L47+L48</f>
        <v>1373644.7999999998</v>
      </c>
      <c r="M115" s="213">
        <f>M10+M12+M14+M15+M17+M39+M40+M42+M43+M44+M45+M46+M47+M48</f>
        <v>1070147.6399999999</v>
      </c>
      <c r="N115" s="213">
        <f>N10+N12+N13+N14+N15+N17+N39+N40+N42+N43+N44+N45+N46+N47+N48+N49+N50</f>
        <v>1739417.85</v>
      </c>
      <c r="O115" s="213">
        <f t="shared" ref="O115:T115" si="34">O10+O12+O13+O14+O15+O17+O39+O40+O42+O43+O44+O45+O46+O47+O48</f>
        <v>3413143.07</v>
      </c>
      <c r="P115" s="213">
        <f t="shared" si="34"/>
        <v>1323810.67</v>
      </c>
      <c r="Q115" s="213">
        <f t="shared" si="34"/>
        <v>2007834.4500000002</v>
      </c>
      <c r="R115" s="213">
        <f t="shared" si="34"/>
        <v>2297485.37</v>
      </c>
      <c r="S115" s="213">
        <f t="shared" si="34"/>
        <v>1837500</v>
      </c>
      <c r="T115" s="213">
        <f t="shared" si="34"/>
        <v>1616450</v>
      </c>
    </row>
    <row r="116" spans="1:56">
      <c r="A116" s="53" t="s">
        <v>61</v>
      </c>
      <c r="B116" s="63">
        <f t="shared" ref="B116:T116" si="35">B37-B78</f>
        <v>385839.85</v>
      </c>
      <c r="C116" s="63">
        <f t="shared" si="35"/>
        <v>383658</v>
      </c>
      <c r="D116" s="63">
        <f t="shared" si="35"/>
        <v>645849</v>
      </c>
      <c r="E116" s="63">
        <f t="shared" si="35"/>
        <v>611525.11</v>
      </c>
      <c r="F116" s="108">
        <f t="shared" si="35"/>
        <v>701000.55999999994</v>
      </c>
      <c r="G116" s="63">
        <f t="shared" si="35"/>
        <v>611401.93999999994</v>
      </c>
      <c r="H116" s="63">
        <f t="shared" si="35"/>
        <v>425220.83</v>
      </c>
      <c r="I116" s="63">
        <f t="shared" si="35"/>
        <v>472261.1</v>
      </c>
      <c r="J116" s="41">
        <f t="shared" si="35"/>
        <v>507606.2</v>
      </c>
      <c r="K116" s="41">
        <f t="shared" si="35"/>
        <v>506854.75999999995</v>
      </c>
      <c r="L116" s="214">
        <f t="shared" si="35"/>
        <v>428218.1</v>
      </c>
      <c r="M116" s="214">
        <f t="shared" si="35"/>
        <v>570619.38</v>
      </c>
      <c r="N116" s="214">
        <f t="shared" si="35"/>
        <v>236032.17</v>
      </c>
      <c r="O116" s="214">
        <f t="shared" si="35"/>
        <v>141853.38000000003</v>
      </c>
      <c r="P116" s="214">
        <f t="shared" si="35"/>
        <v>452803</v>
      </c>
      <c r="Q116" s="214">
        <f t="shared" si="35"/>
        <v>614548.03</v>
      </c>
      <c r="R116" s="214">
        <f t="shared" si="35"/>
        <v>783028.44</v>
      </c>
      <c r="S116" s="214">
        <f t="shared" si="35"/>
        <v>944250</v>
      </c>
      <c r="T116" s="214">
        <f t="shared" si="35"/>
        <v>630250</v>
      </c>
    </row>
    <row r="117" spans="1:56">
      <c r="A117" s="53" t="s">
        <v>62</v>
      </c>
      <c r="B117" s="63">
        <f>SUM(B115:B116)</f>
        <v>1866667.2200000002</v>
      </c>
      <c r="C117" s="63">
        <f t="shared" ref="C117:I117" si="36">SUM(C115:C116)</f>
        <v>1889620</v>
      </c>
      <c r="D117" s="63">
        <f t="shared" si="36"/>
        <v>1873463</v>
      </c>
      <c r="E117" s="63">
        <f t="shared" si="36"/>
        <v>2203856.11</v>
      </c>
      <c r="F117" s="108">
        <f t="shared" si="36"/>
        <v>4036925.3099999996</v>
      </c>
      <c r="G117" s="63">
        <f t="shared" si="36"/>
        <v>1909628.66</v>
      </c>
      <c r="H117" s="63">
        <f t="shared" si="36"/>
        <v>3615991.7499999995</v>
      </c>
      <c r="I117" s="63">
        <f t="shared" si="36"/>
        <v>4143393.06</v>
      </c>
      <c r="J117" s="41">
        <f>SUM(J115:J116)</f>
        <v>4596605.33</v>
      </c>
      <c r="K117" s="41">
        <f>SUM(K115:K116)</f>
        <v>3786414.5700000003</v>
      </c>
      <c r="L117" s="214">
        <f>SUM(L115:L116)</f>
        <v>1801862.9</v>
      </c>
      <c r="M117" s="214">
        <f>SUM(M115:M116)</f>
        <v>1640767.02</v>
      </c>
      <c r="N117" s="214">
        <f t="shared" ref="N117:O117" si="37">SUM(N115:N116)</f>
        <v>1975450.02</v>
      </c>
      <c r="O117" s="214">
        <f t="shared" si="37"/>
        <v>3554996.4499999997</v>
      </c>
      <c r="P117" s="214">
        <f t="shared" ref="P117:Q117" si="38">SUM(P115:P116)</f>
        <v>1776613.67</v>
      </c>
      <c r="Q117" s="214">
        <f t="shared" si="38"/>
        <v>2622382.4800000004</v>
      </c>
      <c r="R117" s="214">
        <f t="shared" ref="R117" si="39">SUM(R115:R116)</f>
        <v>3080513.81</v>
      </c>
      <c r="S117" s="214">
        <f t="shared" ref="S117:T117" si="40">SUM(S115:S116)</f>
        <v>2781750</v>
      </c>
      <c r="T117" s="214">
        <f t="shared" si="40"/>
        <v>2246700</v>
      </c>
    </row>
    <row r="118" spans="1:56">
      <c r="A118" s="53"/>
      <c r="B118" s="63"/>
      <c r="C118" s="63"/>
      <c r="D118" s="63"/>
      <c r="E118" s="63"/>
      <c r="F118" s="108"/>
      <c r="G118" s="63"/>
      <c r="H118" s="63"/>
      <c r="I118" s="63"/>
      <c r="J118" s="41"/>
      <c r="K118" s="41"/>
      <c r="L118" s="214"/>
      <c r="M118" s="214"/>
      <c r="N118" s="214"/>
      <c r="O118" s="214"/>
      <c r="P118" s="214"/>
      <c r="Q118" s="214"/>
      <c r="R118" s="214"/>
      <c r="S118" s="214"/>
      <c r="T118" s="214"/>
    </row>
    <row r="119" spans="1:56">
      <c r="A119" s="53" t="s">
        <v>63</v>
      </c>
      <c r="B119" s="63">
        <f t="shared" ref="B119:T119" si="41">B111-B78</f>
        <v>608868.09</v>
      </c>
      <c r="C119" s="63">
        <f t="shared" si="41"/>
        <v>579610</v>
      </c>
      <c r="D119" s="63">
        <f t="shared" si="41"/>
        <v>624658</v>
      </c>
      <c r="E119" s="63">
        <f t="shared" si="41"/>
        <v>613241</v>
      </c>
      <c r="F119" s="108">
        <f t="shared" si="41"/>
        <v>637519.5199999999</v>
      </c>
      <c r="G119" s="63">
        <f t="shared" si="41"/>
        <v>813158.7300000001</v>
      </c>
      <c r="H119" s="63">
        <f t="shared" si="41"/>
        <v>756310.39999999991</v>
      </c>
      <c r="I119" s="63">
        <f t="shared" si="41"/>
        <v>752413.53999999992</v>
      </c>
      <c r="J119" s="41">
        <f t="shared" si="41"/>
        <v>894140.58000000031</v>
      </c>
      <c r="K119" s="41">
        <f t="shared" si="41"/>
        <v>822097.82000000007</v>
      </c>
      <c r="L119" s="214">
        <f t="shared" si="41"/>
        <v>861868.70999999973</v>
      </c>
      <c r="M119" s="214">
        <f t="shared" si="41"/>
        <v>852403.47000000009</v>
      </c>
      <c r="N119" s="214">
        <f t="shared" si="41"/>
        <v>704968.00000000012</v>
      </c>
      <c r="O119" s="214">
        <f t="shared" si="41"/>
        <v>890712.97999999986</v>
      </c>
      <c r="P119" s="214">
        <f t="shared" si="41"/>
        <v>946035</v>
      </c>
      <c r="Q119" s="214">
        <f t="shared" si="41"/>
        <v>779641.75</v>
      </c>
      <c r="R119" s="214">
        <f t="shared" si="41"/>
        <v>1049998.74</v>
      </c>
      <c r="S119" s="214">
        <f t="shared" si="41"/>
        <v>1161575</v>
      </c>
      <c r="T119" s="214">
        <f t="shared" si="41"/>
        <v>1062498</v>
      </c>
    </row>
    <row r="120" spans="1:56">
      <c r="A120" s="53"/>
      <c r="B120" s="64">
        <f>B119/B117</f>
        <v>0.32617923723972603</v>
      </c>
      <c r="C120" s="64">
        <f t="shared" ref="C120:I120" si="42">C119/C117</f>
        <v>0.30673362898360518</v>
      </c>
      <c r="D120" s="64">
        <f t="shared" si="42"/>
        <v>0.33342425230709122</v>
      </c>
      <c r="E120" s="64">
        <f t="shared" si="42"/>
        <v>0.27825818446922113</v>
      </c>
      <c r="F120" s="109">
        <f t="shared" si="42"/>
        <v>0.15792204983846975</v>
      </c>
      <c r="G120" s="64">
        <f t="shared" si="42"/>
        <v>0.4258203424743322</v>
      </c>
      <c r="H120" s="64">
        <f t="shared" si="42"/>
        <v>0.20915711436565088</v>
      </c>
      <c r="I120" s="64">
        <f t="shared" si="42"/>
        <v>0.1815935705602596</v>
      </c>
      <c r="J120" s="76">
        <f>J119/J117</f>
        <v>0.19452193864988629</v>
      </c>
      <c r="K120" s="76">
        <f>K119/K117</f>
        <v>0.21711775211133313</v>
      </c>
      <c r="L120" s="215">
        <f>L119/L117</f>
        <v>0.47832091442695213</v>
      </c>
      <c r="M120" s="215">
        <f>M119/M117</f>
        <v>0.51951523867172811</v>
      </c>
      <c r="N120" s="215">
        <f t="shared" ref="N120:O120" si="43">N119/N117</f>
        <v>0.3568645082703738</v>
      </c>
      <c r="O120" s="215">
        <f t="shared" si="43"/>
        <v>0.25055242460228055</v>
      </c>
      <c r="P120" s="215">
        <f t="shared" ref="P120:Q120" si="44">P119/P117</f>
        <v>0.5324933698162978</v>
      </c>
      <c r="Q120" s="215">
        <f t="shared" si="44"/>
        <v>0.2973028366174868</v>
      </c>
      <c r="R120" s="215">
        <f t="shared" ref="R120" si="45">R119/R117</f>
        <v>0.34085182043056639</v>
      </c>
      <c r="S120" s="215">
        <f t="shared" ref="S120:T120" si="46">S119/S117</f>
        <v>0.41756987507863758</v>
      </c>
      <c r="T120" s="215">
        <f t="shared" si="46"/>
        <v>0.47291494191480837</v>
      </c>
    </row>
    <row r="121" spans="1:56" ht="13.5" thickBot="1">
      <c r="A121" s="54" t="s">
        <v>64</v>
      </c>
      <c r="B121" s="65">
        <f>B117-B119</f>
        <v>1257799.1300000004</v>
      </c>
      <c r="C121" s="65">
        <f t="shared" ref="C121:I121" si="47">C117-C119</f>
        <v>1310010</v>
      </c>
      <c r="D121" s="65">
        <f t="shared" si="47"/>
        <v>1248805</v>
      </c>
      <c r="E121" s="65">
        <f t="shared" si="47"/>
        <v>1590615.1099999999</v>
      </c>
      <c r="F121" s="110">
        <f t="shared" si="47"/>
        <v>3399405.7899999996</v>
      </c>
      <c r="G121" s="65">
        <f t="shared" si="47"/>
        <v>1096469.9299999997</v>
      </c>
      <c r="H121" s="65">
        <f t="shared" si="47"/>
        <v>2859681.3499999996</v>
      </c>
      <c r="I121" s="65">
        <f t="shared" si="47"/>
        <v>3390979.52</v>
      </c>
      <c r="J121" s="77">
        <f>J117-J119</f>
        <v>3702464.75</v>
      </c>
      <c r="K121" s="77">
        <f>K117-K119</f>
        <v>2964316.75</v>
      </c>
      <c r="L121" s="216">
        <f>L117-L119</f>
        <v>939994.19000000018</v>
      </c>
      <c r="M121" s="216">
        <f>M117-M119</f>
        <v>788363.54999999993</v>
      </c>
      <c r="N121" s="216">
        <f t="shared" ref="N121:O121" si="48">N117-N119</f>
        <v>1270482.02</v>
      </c>
      <c r="O121" s="216">
        <f t="shared" si="48"/>
        <v>2664283.4699999997</v>
      </c>
      <c r="P121" s="216">
        <f t="shared" ref="P121:Q121" si="49">P117-P119</f>
        <v>830578.66999999993</v>
      </c>
      <c r="Q121" s="216">
        <f t="shared" si="49"/>
        <v>1842740.7300000004</v>
      </c>
      <c r="R121" s="216">
        <f t="shared" ref="R121" si="50">R117-R119</f>
        <v>2030515.07</v>
      </c>
      <c r="S121" s="216">
        <f t="shared" ref="S121:T121" si="51">S117-S119</f>
        <v>1620175</v>
      </c>
      <c r="T121" s="216">
        <f t="shared" si="51"/>
        <v>1184202</v>
      </c>
    </row>
    <row r="123" spans="1:56">
      <c r="N123" s="195" t="s">
        <v>144</v>
      </c>
      <c r="O123" s="195" t="s">
        <v>145</v>
      </c>
    </row>
    <row r="124" spans="1:56">
      <c r="K124" s="111"/>
      <c r="L124" s="111"/>
      <c r="M124" s="111"/>
      <c r="N124" s="111"/>
      <c r="O124" s="217"/>
      <c r="P124" s="217"/>
      <c r="Q124" s="217"/>
      <c r="R124" s="217"/>
      <c r="S124" s="134"/>
      <c r="T124" s="134"/>
    </row>
    <row r="125" spans="1:56">
      <c r="G125" s="25"/>
      <c r="K125" s="112"/>
      <c r="L125" s="112"/>
      <c r="M125" s="112"/>
      <c r="S125" s="134"/>
      <c r="T125" s="134"/>
    </row>
    <row r="126" spans="1:56">
      <c r="K126" s="112"/>
      <c r="L126" s="112"/>
      <c r="M126" s="112"/>
      <c r="S126" s="134"/>
      <c r="T126" s="134"/>
    </row>
    <row r="127" spans="1:56">
      <c r="K127" s="112"/>
      <c r="L127" s="112"/>
      <c r="M127" s="112"/>
      <c r="S127" s="134"/>
      <c r="T127" s="134"/>
    </row>
    <row r="128" spans="1:56">
      <c r="K128" s="112"/>
      <c r="L128" s="112"/>
      <c r="M128" s="112"/>
      <c r="S128" s="134"/>
      <c r="T128" s="134"/>
    </row>
    <row r="129" spans="10:20">
      <c r="K129" s="112"/>
      <c r="L129" s="112"/>
      <c r="M129" s="112"/>
      <c r="S129" s="134"/>
      <c r="T129" s="134"/>
    </row>
    <row r="130" spans="10:20">
      <c r="S130" s="134"/>
      <c r="T130" s="134"/>
    </row>
    <row r="131" spans="10:20">
      <c r="K131" s="112"/>
      <c r="L131" s="112"/>
      <c r="M131" s="112"/>
      <c r="S131" s="134"/>
      <c r="T131" s="134"/>
    </row>
    <row r="132" spans="10:20">
      <c r="K132" s="112"/>
      <c r="L132" s="112"/>
      <c r="M132" s="112"/>
      <c r="S132" s="134"/>
      <c r="T132" s="134"/>
    </row>
    <row r="133" spans="10:20">
      <c r="J133" s="3"/>
      <c r="K133" s="112"/>
      <c r="L133" s="112"/>
      <c r="M133" s="112"/>
      <c r="S133" s="134"/>
      <c r="T133" s="134"/>
    </row>
    <row r="134" spans="10:20">
      <c r="S134" s="134"/>
      <c r="T134" s="134"/>
    </row>
    <row r="136" spans="10:20">
      <c r="S136" s="111"/>
      <c r="T136" s="111"/>
    </row>
  </sheetData>
  <printOptions verticalCentered="1"/>
  <pageMargins left="3.937007874015748E-2" right="3.937007874015748E-2" top="0.74803149606299213" bottom="0.74803149606299213" header="0.31496062992125984" footer="0.31496062992125984"/>
  <pageSetup paperSize="5" scale="31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66382-281B-43C3-8415-D4D9C7AB5A27}">
  <sheetPr>
    <tabColor rgb="FFFF00FF"/>
  </sheetPr>
  <dimension ref="A1:D13"/>
  <sheetViews>
    <sheetView workbookViewId="0">
      <selection activeCell="B4" sqref="B4"/>
    </sheetView>
  </sheetViews>
  <sheetFormatPr defaultRowHeight="12.75"/>
  <cols>
    <col min="1" max="1" width="18" customWidth="1"/>
    <col min="2" max="2" width="10.7109375" customWidth="1"/>
    <col min="4" max="4" width="122.7109375" customWidth="1"/>
  </cols>
  <sheetData>
    <row r="1" spans="1:4">
      <c r="A1" s="142" t="s">
        <v>205</v>
      </c>
      <c r="B1" s="142"/>
      <c r="C1" s="142"/>
      <c r="D1" s="142"/>
    </row>
    <row r="3" spans="1:4">
      <c r="B3" t="s">
        <v>211</v>
      </c>
      <c r="C3" t="s">
        <v>212</v>
      </c>
    </row>
    <row r="4" spans="1:4">
      <c r="A4" s="327" t="s">
        <v>206</v>
      </c>
      <c r="B4" s="327">
        <v>65</v>
      </c>
    </row>
    <row r="5" spans="1:4">
      <c r="A5" s="327" t="s">
        <v>207</v>
      </c>
      <c r="B5" s="327">
        <v>80</v>
      </c>
      <c r="D5" s="165" t="s">
        <v>295</v>
      </c>
    </row>
    <row r="6" spans="1:4">
      <c r="A6" s="327" t="s">
        <v>208</v>
      </c>
      <c r="B6" s="327">
        <v>60</v>
      </c>
    </row>
    <row r="7" spans="1:4">
      <c r="A7" s="327" t="s">
        <v>209</v>
      </c>
      <c r="B7" s="327">
        <v>55</v>
      </c>
      <c r="D7" t="s">
        <v>214</v>
      </c>
    </row>
    <row r="8" spans="1:4">
      <c r="A8" s="327" t="s">
        <v>210</v>
      </c>
      <c r="B8" s="327">
        <v>70</v>
      </c>
    </row>
    <row r="9" spans="1:4">
      <c r="A9" s="327" t="s">
        <v>293</v>
      </c>
      <c r="B9" s="327">
        <v>105</v>
      </c>
      <c r="D9" t="s">
        <v>294</v>
      </c>
    </row>
    <row r="10" spans="1:4">
      <c r="A10" s="327" t="s">
        <v>213</v>
      </c>
      <c r="B10" s="327">
        <v>91</v>
      </c>
      <c r="D10" t="s">
        <v>215</v>
      </c>
    </row>
    <row r="11" spans="1:4" ht="13.5" thickBot="1">
      <c r="B11" s="237">
        <f>SUM(B4:B10)</f>
        <v>526</v>
      </c>
      <c r="C11" s="237">
        <f>B11*12</f>
        <v>6312</v>
      </c>
    </row>
    <row r="12" spans="1:4" ht="13.5" thickTop="1"/>
    <row r="13" spans="1:4">
      <c r="B13" t="s">
        <v>137</v>
      </c>
      <c r="C13" s="328">
        <v>6500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2:I23"/>
  <sheetViews>
    <sheetView workbookViewId="0">
      <selection activeCell="C20" sqref="C20"/>
    </sheetView>
  </sheetViews>
  <sheetFormatPr defaultColWidth="9.140625" defaultRowHeight="12.75"/>
  <cols>
    <col min="2" max="2" width="20.5703125" customWidth="1"/>
    <col min="3" max="3" width="11" style="170" bestFit="1" customWidth="1"/>
  </cols>
  <sheetData>
    <row r="2" spans="1:9">
      <c r="A2" s="142" t="s">
        <v>67</v>
      </c>
      <c r="B2" s="142" t="s">
        <v>66</v>
      </c>
      <c r="C2" s="174"/>
      <c r="D2" s="142"/>
      <c r="E2" s="142"/>
      <c r="F2" s="142"/>
      <c r="G2" s="142"/>
      <c r="H2" s="142"/>
      <c r="I2" s="142"/>
    </row>
    <row r="4" spans="1:9">
      <c r="A4" t="s">
        <v>83</v>
      </c>
      <c r="C4" s="185">
        <v>25000</v>
      </c>
      <c r="E4" s="132" t="s">
        <v>141</v>
      </c>
    </row>
    <row r="5" spans="1:9">
      <c r="A5" t="s">
        <v>142</v>
      </c>
      <c r="C5" s="185">
        <v>1500</v>
      </c>
      <c r="E5" s="132"/>
    </row>
    <row r="6" spans="1:9">
      <c r="A6" t="s">
        <v>68</v>
      </c>
      <c r="C6" s="169">
        <v>50</v>
      </c>
      <c r="E6" t="s">
        <v>320</v>
      </c>
    </row>
    <row r="7" spans="1:9">
      <c r="A7" t="s">
        <v>69</v>
      </c>
      <c r="C7" s="169"/>
      <c r="E7" t="s">
        <v>321</v>
      </c>
    </row>
    <row r="8" spans="1:9">
      <c r="A8" s="186" t="s">
        <v>70</v>
      </c>
      <c r="B8" s="186"/>
      <c r="C8" s="168">
        <v>0</v>
      </c>
      <c r="E8" s="132" t="s">
        <v>92</v>
      </c>
    </row>
    <row r="9" spans="1:9">
      <c r="A9" s="132" t="s">
        <v>149</v>
      </c>
      <c r="C9" s="169">
        <v>1000</v>
      </c>
      <c r="E9" s="132"/>
    </row>
    <row r="10" spans="1:9" s="165" customFormat="1">
      <c r="A10" s="190" t="s">
        <v>150</v>
      </c>
      <c r="C10" s="169"/>
      <c r="E10" s="190"/>
    </row>
    <row r="11" spans="1:9">
      <c r="A11" s="27" t="s">
        <v>88</v>
      </c>
      <c r="C11" s="169">
        <v>538</v>
      </c>
      <c r="D11" s="141" t="s">
        <v>111</v>
      </c>
      <c r="E11" s="132" t="s">
        <v>119</v>
      </c>
      <c r="G11" t="s">
        <v>204</v>
      </c>
    </row>
    <row r="12" spans="1:9" s="165" customFormat="1">
      <c r="A12" s="165" t="s">
        <v>128</v>
      </c>
      <c r="C12" s="169"/>
      <c r="D12" s="191"/>
      <c r="E12" s="190" t="s">
        <v>143</v>
      </c>
    </row>
    <row r="13" spans="1:9">
      <c r="A13" s="132" t="s">
        <v>318</v>
      </c>
      <c r="C13" s="169">
        <v>0</v>
      </c>
      <c r="D13" s="141"/>
      <c r="E13" s="190" t="s">
        <v>319</v>
      </c>
    </row>
    <row r="14" spans="1:9">
      <c r="A14" s="132" t="s">
        <v>312</v>
      </c>
      <c r="C14" s="169">
        <v>670</v>
      </c>
      <c r="D14" s="141" t="s">
        <v>110</v>
      </c>
      <c r="E14" s="132"/>
    </row>
    <row r="15" spans="1:9">
      <c r="A15" s="132" t="s">
        <v>313</v>
      </c>
      <c r="C15" s="169">
        <v>2635</v>
      </c>
      <c r="D15" s="141" t="s">
        <v>322</v>
      </c>
      <c r="E15" s="132"/>
    </row>
    <row r="16" spans="1:9">
      <c r="A16" s="132" t="s">
        <v>314</v>
      </c>
      <c r="C16" s="169">
        <v>662</v>
      </c>
      <c r="D16" s="141"/>
      <c r="E16" s="132" t="s">
        <v>315</v>
      </c>
    </row>
    <row r="17" spans="1:5">
      <c r="A17" s="132" t="s">
        <v>316</v>
      </c>
      <c r="C17" s="169">
        <v>320</v>
      </c>
      <c r="D17" s="141"/>
      <c r="E17" s="132" t="s">
        <v>317</v>
      </c>
    </row>
    <row r="18" spans="1:5" ht="13.5" thickBot="1">
      <c r="C18" s="172">
        <f>SUM(C4:C17)</f>
        <v>32375</v>
      </c>
    </row>
    <row r="19" spans="1:5" ht="13.5" thickTop="1"/>
    <row r="20" spans="1:5" ht="13.5" thickBot="1">
      <c r="B20" t="s">
        <v>137</v>
      </c>
      <c r="C20" s="344">
        <v>32500</v>
      </c>
    </row>
    <row r="21" spans="1:5" ht="13.5" thickTop="1"/>
    <row r="22" spans="1:5">
      <c r="B22" t="s">
        <v>133</v>
      </c>
    </row>
    <row r="23" spans="1:5">
      <c r="A23" s="132"/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  <pageSetUpPr fitToPage="1"/>
  </sheetPr>
  <dimension ref="A1:J20"/>
  <sheetViews>
    <sheetView workbookViewId="0">
      <selection activeCell="H18" sqref="H18"/>
    </sheetView>
  </sheetViews>
  <sheetFormatPr defaultColWidth="9.140625" defaultRowHeight="12.75"/>
  <cols>
    <col min="5" max="5" width="18.85546875" customWidth="1"/>
    <col min="6" max="6" width="11.7109375" style="170" customWidth="1"/>
  </cols>
  <sheetData>
    <row r="1" spans="1:10">
      <c r="A1" s="142" t="s">
        <v>109</v>
      </c>
      <c r="B1" s="142"/>
      <c r="C1" s="142"/>
      <c r="D1" s="142"/>
      <c r="E1" s="142"/>
      <c r="F1" s="174"/>
    </row>
    <row r="3" spans="1:10">
      <c r="F3" s="170" t="s">
        <v>217</v>
      </c>
      <c r="H3" s="165"/>
      <c r="I3" s="165"/>
      <c r="J3" s="165"/>
    </row>
    <row r="4" spans="1:10">
      <c r="A4" s="142" t="s">
        <v>75</v>
      </c>
      <c r="B4" s="142" t="s">
        <v>76</v>
      </c>
      <c r="D4" s="127"/>
      <c r="E4" s="128"/>
      <c r="F4" s="173">
        <v>17000</v>
      </c>
      <c r="G4" s="128"/>
      <c r="H4" s="178"/>
      <c r="I4" s="178"/>
      <c r="J4" s="178"/>
    </row>
    <row r="5" spans="1:10">
      <c r="E5" s="128"/>
      <c r="F5" s="173">
        <f>F4*5%</f>
        <v>850</v>
      </c>
      <c r="G5" s="132"/>
      <c r="H5" s="165"/>
      <c r="I5" s="165"/>
      <c r="J5" s="165"/>
    </row>
    <row r="6" spans="1:10">
      <c r="E6" s="128"/>
      <c r="F6" s="176">
        <f>SUM(F4:F5)</f>
        <v>17850</v>
      </c>
      <c r="G6" s="132"/>
      <c r="H6" s="165"/>
      <c r="I6" s="165"/>
      <c r="J6" s="165"/>
    </row>
    <row r="7" spans="1:10">
      <c r="E7" s="128" t="s">
        <v>138</v>
      </c>
      <c r="F7" s="173">
        <f>F6*5%</f>
        <v>892.5</v>
      </c>
      <c r="G7" s="132"/>
    </row>
    <row r="8" spans="1:10">
      <c r="E8" s="128" t="s">
        <v>139</v>
      </c>
      <c r="F8" s="173">
        <f>F6*9.975%</f>
        <v>1780.5374999999999</v>
      </c>
      <c r="G8" s="132"/>
    </row>
    <row r="9" spans="1:10">
      <c r="E9" s="128"/>
      <c r="F9" s="176">
        <f>SUM(F6:F8)</f>
        <v>20523.037499999999</v>
      </c>
      <c r="G9" s="132"/>
    </row>
    <row r="10" spans="1:10">
      <c r="E10" s="183" t="s">
        <v>140</v>
      </c>
      <c r="F10" s="173">
        <f>-(F7+F8)/2</f>
        <v>-1336.51875</v>
      </c>
      <c r="G10" s="132"/>
    </row>
    <row r="11" spans="1:10" ht="13.5" thickBot="1">
      <c r="E11" s="128"/>
      <c r="F11" s="171">
        <f>SUM(F9:F10)</f>
        <v>19186.518749999999</v>
      </c>
      <c r="G11" s="132"/>
    </row>
    <row r="12" spans="1:10" ht="13.5" thickTop="1">
      <c r="E12" s="128"/>
      <c r="F12" s="173"/>
      <c r="G12" s="132"/>
    </row>
    <row r="13" spans="1:10" ht="13.5" thickBot="1">
      <c r="E13" s="128"/>
      <c r="F13" s="184">
        <v>19200</v>
      </c>
      <c r="G13" s="132"/>
    </row>
    <row r="14" spans="1:10" ht="13.5" thickTop="1">
      <c r="E14" s="128"/>
      <c r="F14" s="173"/>
      <c r="G14" s="132"/>
    </row>
    <row r="15" spans="1:10">
      <c r="F15" s="173"/>
    </row>
    <row r="16" spans="1:10">
      <c r="A16" s="142" t="s">
        <v>77</v>
      </c>
      <c r="B16" s="142" t="s">
        <v>78</v>
      </c>
      <c r="C16" s="142"/>
      <c r="D16" s="27"/>
      <c r="E16" s="132"/>
      <c r="F16" s="250">
        <v>2000</v>
      </c>
      <c r="H16" t="s">
        <v>323</v>
      </c>
    </row>
    <row r="17" spans="1:8">
      <c r="F17" s="173"/>
      <c r="H17" t="s">
        <v>324</v>
      </c>
    </row>
    <row r="19" spans="1:8" ht="13.5" thickBot="1">
      <c r="A19" t="s">
        <v>108</v>
      </c>
      <c r="F19" s="345">
        <f>SUM(F13:F16)</f>
        <v>21200</v>
      </c>
    </row>
    <row r="20" spans="1:8" ht="13.5" thickTop="1"/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G5"/>
  <sheetViews>
    <sheetView workbookViewId="0">
      <selection activeCell="M43" sqref="M43"/>
    </sheetView>
  </sheetViews>
  <sheetFormatPr defaultColWidth="9.140625" defaultRowHeight="12.75"/>
  <cols>
    <col min="2" max="2" width="11.28515625" customWidth="1"/>
    <col min="5" max="5" width="66.42578125" customWidth="1"/>
  </cols>
  <sheetData>
    <row r="1" spans="1:7">
      <c r="A1" s="128"/>
      <c r="B1" s="128"/>
      <c r="C1" s="128"/>
      <c r="D1" s="128"/>
      <c r="E1" s="128"/>
      <c r="F1" s="128"/>
      <c r="G1" s="128"/>
    </row>
    <row r="2" spans="1:7">
      <c r="A2" s="128"/>
      <c r="B2" s="193"/>
      <c r="C2" s="128"/>
      <c r="D2" s="194"/>
      <c r="E2" s="128"/>
      <c r="F2" s="128"/>
      <c r="G2" s="128"/>
    </row>
    <row r="3" spans="1:7">
      <c r="A3" s="128"/>
      <c r="B3" s="128"/>
      <c r="C3" s="128"/>
      <c r="D3" s="128"/>
      <c r="E3" s="128"/>
      <c r="F3" s="128"/>
      <c r="G3" s="128"/>
    </row>
    <row r="4" spans="1:7">
      <c r="A4" s="128"/>
      <c r="B4" s="128"/>
      <c r="C4" s="128"/>
      <c r="D4" s="128"/>
      <c r="E4" s="128"/>
      <c r="F4" s="128"/>
      <c r="G4" s="128"/>
    </row>
    <row r="5" spans="1:7">
      <c r="A5" s="128"/>
      <c r="B5" s="128"/>
      <c r="C5" s="128"/>
      <c r="D5" s="128"/>
      <c r="E5" s="128"/>
      <c r="F5" s="128"/>
      <c r="G5" s="12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A3" sqref="A3"/>
    </sheetView>
  </sheetViews>
  <sheetFormatPr defaultColWidth="9.140625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2631A-717C-491B-B2B2-73CD082FF531}">
  <sheetPr>
    <tabColor rgb="FFFF00FF"/>
  </sheetPr>
  <dimension ref="A2:K56"/>
  <sheetViews>
    <sheetView workbookViewId="0">
      <selection activeCell="J17" sqref="J17"/>
    </sheetView>
  </sheetViews>
  <sheetFormatPr defaultColWidth="9.140625" defaultRowHeight="12.75"/>
  <cols>
    <col min="1" max="1" width="34" customWidth="1"/>
    <col min="2" max="2" width="19.28515625" style="182" customWidth="1"/>
    <col min="3" max="3" width="25.28515625" customWidth="1"/>
    <col min="4" max="4" width="10.5703125" bestFit="1" customWidth="1"/>
    <col min="6" max="6" width="9.5703125" bestFit="1" customWidth="1"/>
    <col min="7" max="7" width="16.7109375" customWidth="1"/>
    <col min="8" max="8" width="12.140625" style="192" customWidth="1"/>
    <col min="10" max="10" width="14.140625" bestFit="1" customWidth="1"/>
  </cols>
  <sheetData>
    <row r="2" spans="1:11">
      <c r="A2" s="144" t="s">
        <v>245</v>
      </c>
      <c r="B2" s="144"/>
      <c r="C2" s="142"/>
      <c r="D2" s="142"/>
      <c r="E2" s="142"/>
      <c r="F2" s="142"/>
      <c r="G2" s="142"/>
      <c r="H2" s="308"/>
      <c r="I2" s="276"/>
      <c r="J2" s="142"/>
      <c r="K2" s="277"/>
    </row>
    <row r="3" spans="1:11" ht="13.5" thickBot="1">
      <c r="B3"/>
      <c r="E3" s="277"/>
      <c r="I3" s="278"/>
      <c r="K3" s="277"/>
    </row>
    <row r="4" spans="1:11" ht="13.5" thickBot="1">
      <c r="A4" s="349" t="s">
        <v>246</v>
      </c>
      <c r="B4" s="349"/>
      <c r="C4" s="349"/>
      <c r="D4" s="349"/>
      <c r="E4" s="349"/>
      <c r="F4" s="349"/>
      <c r="G4" s="349"/>
      <c r="H4" s="349"/>
      <c r="I4" s="349"/>
      <c r="J4" s="349"/>
      <c r="K4" s="279"/>
    </row>
    <row r="5" spans="1:11">
      <c r="A5" s="280"/>
      <c r="B5" s="280"/>
      <c r="C5" s="280"/>
      <c r="D5" s="280"/>
      <c r="E5" s="281"/>
      <c r="F5" s="280"/>
      <c r="G5" s="280"/>
      <c r="H5" s="309"/>
      <c r="I5" s="282"/>
      <c r="J5" s="280"/>
      <c r="K5" s="283"/>
    </row>
    <row r="6" spans="1:11">
      <c r="A6" s="284" t="s">
        <v>247</v>
      </c>
      <c r="B6" s="285" t="s">
        <v>248</v>
      </c>
      <c r="C6" s="285" t="s">
        <v>249</v>
      </c>
      <c r="D6" s="285" t="s">
        <v>250</v>
      </c>
      <c r="E6" s="286"/>
      <c r="F6" s="285" t="s">
        <v>251</v>
      </c>
      <c r="G6" s="287" t="s">
        <v>252</v>
      </c>
      <c r="H6" s="350" t="s">
        <v>253</v>
      </c>
      <c r="I6" s="350"/>
      <c r="J6" s="285" t="s">
        <v>254</v>
      </c>
      <c r="K6" s="288"/>
    </row>
    <row r="7" spans="1:11">
      <c r="A7" s="3"/>
      <c r="B7" s="3"/>
      <c r="C7" s="3"/>
      <c r="D7" s="3"/>
      <c r="E7" s="286"/>
      <c r="F7" s="3"/>
      <c r="G7" s="289"/>
      <c r="H7" s="310"/>
      <c r="I7" s="290"/>
      <c r="J7" s="3"/>
      <c r="K7" s="288"/>
    </row>
    <row r="8" spans="1:11">
      <c r="A8" s="3"/>
      <c r="B8" s="3"/>
      <c r="C8" s="3"/>
      <c r="D8" s="3"/>
      <c r="E8" s="286"/>
      <c r="F8" s="3"/>
      <c r="G8" s="289"/>
      <c r="H8" s="310"/>
      <c r="I8" s="290"/>
      <c r="J8" s="3"/>
      <c r="K8" s="288"/>
    </row>
    <row r="9" spans="1:11">
      <c r="A9" s="3"/>
      <c r="B9" s="3"/>
      <c r="C9" s="3"/>
      <c r="D9" s="3"/>
      <c r="E9" s="286"/>
      <c r="F9" s="3"/>
      <c r="G9" s="289"/>
      <c r="H9" s="310"/>
      <c r="I9" s="290"/>
      <c r="J9" s="3"/>
      <c r="K9" s="288"/>
    </row>
    <row r="10" spans="1:11">
      <c r="A10" s="291" t="s">
        <v>255</v>
      </c>
      <c r="B10" s="3"/>
      <c r="C10" s="3"/>
      <c r="D10" s="3"/>
      <c r="E10" s="286"/>
      <c r="F10" s="3"/>
      <c r="G10" s="289"/>
      <c r="H10" s="310"/>
      <c r="I10" s="290"/>
      <c r="J10" s="3"/>
      <c r="K10" s="288"/>
    </row>
    <row r="11" spans="1:11">
      <c r="A11" s="3"/>
      <c r="B11" s="3"/>
      <c r="C11" s="3"/>
      <c r="D11" s="3"/>
      <c r="E11" s="286"/>
      <c r="F11" s="3"/>
      <c r="G11" s="289"/>
      <c r="H11" s="310"/>
      <c r="I11" s="290"/>
      <c r="J11" s="3"/>
      <c r="K11" s="288"/>
    </row>
    <row r="12" spans="1:11">
      <c r="A12" s="292">
        <v>43132</v>
      </c>
      <c r="B12" s="293" t="s">
        <v>256</v>
      </c>
      <c r="C12" s="293" t="s">
        <v>257</v>
      </c>
      <c r="D12" s="294">
        <v>7500</v>
      </c>
      <c r="E12" s="286"/>
      <c r="F12" s="294">
        <v>2500</v>
      </c>
      <c r="G12" s="289" t="s">
        <v>258</v>
      </c>
      <c r="H12" s="311" t="s">
        <v>259</v>
      </c>
      <c r="I12" s="295">
        <v>500</v>
      </c>
      <c r="J12" s="294"/>
      <c r="K12" s="288"/>
    </row>
    <row r="13" spans="1:11">
      <c r="A13" s="292"/>
      <c r="B13" s="293"/>
      <c r="C13" s="293"/>
      <c r="D13" s="294"/>
      <c r="E13" s="286"/>
      <c r="F13" s="294"/>
      <c r="G13" s="289" t="s">
        <v>260</v>
      </c>
      <c r="H13" s="310"/>
      <c r="I13" s="290"/>
      <c r="J13" s="294"/>
      <c r="K13" s="288"/>
    </row>
    <row r="14" spans="1:11">
      <c r="A14" s="3"/>
      <c r="B14" s="3"/>
      <c r="C14" s="3"/>
      <c r="D14" s="3"/>
      <c r="E14" s="286"/>
      <c r="F14" s="3"/>
      <c r="G14" s="289"/>
      <c r="H14" s="310">
        <v>2020</v>
      </c>
      <c r="I14" s="290">
        <v>1500</v>
      </c>
      <c r="J14" s="3"/>
      <c r="K14" s="288"/>
    </row>
    <row r="15" spans="1:11">
      <c r="A15" s="3"/>
      <c r="B15" s="3"/>
      <c r="C15" s="3"/>
      <c r="D15" s="3"/>
      <c r="E15" s="286"/>
      <c r="F15" s="3"/>
      <c r="G15" s="289"/>
      <c r="H15" s="310">
        <v>2021</v>
      </c>
      <c r="I15" s="290">
        <v>1500</v>
      </c>
      <c r="J15" s="3"/>
      <c r="K15" s="288"/>
    </row>
    <row r="16" spans="1:11">
      <c r="A16" s="3"/>
      <c r="B16" s="3"/>
      <c r="C16" s="3"/>
      <c r="D16" s="3"/>
      <c r="E16" s="286"/>
      <c r="F16" s="3"/>
      <c r="G16" s="289"/>
      <c r="H16" s="310">
        <v>2022</v>
      </c>
      <c r="I16" s="290">
        <v>1500</v>
      </c>
      <c r="J16" s="315">
        <v>5000</v>
      </c>
      <c r="K16" s="288"/>
    </row>
    <row r="17" spans="1:11">
      <c r="A17" s="3"/>
      <c r="B17" s="3"/>
      <c r="C17" s="3"/>
      <c r="D17" s="3"/>
      <c r="E17" s="286"/>
      <c r="F17" s="3"/>
      <c r="G17" s="289"/>
      <c r="H17" s="310"/>
      <c r="I17" s="290"/>
      <c r="J17" s="296"/>
      <c r="K17" s="288"/>
    </row>
    <row r="18" spans="1:11">
      <c r="A18" s="3"/>
      <c r="B18" s="3"/>
      <c r="C18" s="3"/>
      <c r="D18" s="3"/>
      <c r="E18" s="286"/>
      <c r="F18" s="3"/>
      <c r="G18" s="289"/>
      <c r="H18" s="310"/>
      <c r="I18" s="290"/>
      <c r="J18" s="296"/>
      <c r="K18" s="288"/>
    </row>
    <row r="19" spans="1:11">
      <c r="A19" s="291"/>
      <c r="B19" s="3"/>
      <c r="C19" s="3"/>
      <c r="D19" s="3"/>
      <c r="E19" s="286"/>
      <c r="F19" s="3"/>
      <c r="G19" s="289"/>
      <c r="H19" s="310"/>
      <c r="I19" s="290"/>
      <c r="J19" s="3"/>
      <c r="K19" s="288"/>
    </row>
    <row r="20" spans="1:11">
      <c r="A20" s="3"/>
      <c r="B20" s="3"/>
      <c r="C20" s="3"/>
      <c r="D20" s="3"/>
      <c r="E20" s="286"/>
      <c r="F20" s="3"/>
      <c r="G20" s="289"/>
      <c r="H20" s="310"/>
      <c r="I20" s="290"/>
      <c r="J20" s="3"/>
      <c r="K20" s="288"/>
    </row>
    <row r="21" spans="1:11">
      <c r="A21" s="292"/>
      <c r="B21" s="293"/>
      <c r="C21" s="293"/>
      <c r="D21" s="294"/>
      <c r="E21" s="286"/>
      <c r="F21" s="294"/>
      <c r="G21" s="289"/>
      <c r="H21" s="310"/>
      <c r="I21" s="290"/>
      <c r="J21" s="294"/>
      <c r="K21" s="288"/>
    </row>
    <row r="22" spans="1:11">
      <c r="A22" s="3"/>
      <c r="B22" s="3"/>
      <c r="C22" s="3"/>
      <c r="D22" s="3"/>
      <c r="E22" s="286"/>
      <c r="F22" s="3"/>
      <c r="G22" s="289"/>
      <c r="H22" s="310"/>
      <c r="I22" s="290"/>
      <c r="J22" s="3"/>
      <c r="K22" s="288"/>
    </row>
    <row r="23" spans="1:11">
      <c r="A23" s="3"/>
      <c r="B23" s="3"/>
      <c r="C23" s="3"/>
      <c r="D23" s="3"/>
      <c r="E23" s="286"/>
      <c r="F23" s="3"/>
      <c r="G23" s="289"/>
      <c r="H23" s="310"/>
      <c r="I23" s="290"/>
      <c r="J23" s="3"/>
      <c r="K23" s="288"/>
    </row>
    <row r="24" spans="1:11">
      <c r="A24" s="291" t="s">
        <v>261</v>
      </c>
      <c r="B24" s="3"/>
      <c r="C24" s="3"/>
      <c r="D24" s="3"/>
      <c r="E24" s="286"/>
      <c r="F24" s="3"/>
      <c r="G24" s="289"/>
      <c r="H24" s="310"/>
      <c r="I24" s="290"/>
      <c r="J24" s="3"/>
      <c r="K24" s="288"/>
    </row>
    <row r="25" spans="1:11">
      <c r="A25" s="3"/>
      <c r="B25" s="3"/>
      <c r="C25" s="3"/>
      <c r="D25" s="3"/>
      <c r="E25" s="286"/>
      <c r="F25" s="3"/>
      <c r="G25" s="289"/>
      <c r="H25" s="310"/>
      <c r="I25" s="290"/>
      <c r="J25" s="3"/>
      <c r="K25" s="288"/>
    </row>
    <row r="26" spans="1:11">
      <c r="A26" s="292">
        <v>42773</v>
      </c>
      <c r="B26" s="293" t="s">
        <v>256</v>
      </c>
      <c r="C26" s="293" t="s">
        <v>257</v>
      </c>
      <c r="D26" s="294">
        <v>25000</v>
      </c>
      <c r="E26" s="286"/>
      <c r="F26" s="294">
        <v>14000</v>
      </c>
      <c r="G26" s="289" t="s">
        <v>262</v>
      </c>
      <c r="H26" s="310"/>
      <c r="I26" s="290"/>
      <c r="J26" s="3"/>
      <c r="K26" s="288"/>
    </row>
    <row r="27" spans="1:11">
      <c r="A27" s="292"/>
      <c r="B27" s="293"/>
      <c r="C27" s="293"/>
      <c r="D27" s="294"/>
      <c r="E27" s="286"/>
      <c r="F27" s="294"/>
      <c r="G27" s="289" t="s">
        <v>263</v>
      </c>
      <c r="H27" s="310"/>
      <c r="I27" s="290"/>
      <c r="J27" s="294"/>
      <c r="K27" s="288"/>
    </row>
    <row r="28" spans="1:11">
      <c r="A28" s="292"/>
      <c r="B28" s="293"/>
      <c r="C28" s="293"/>
      <c r="D28" s="294"/>
      <c r="E28" s="286"/>
      <c r="F28" s="294"/>
      <c r="G28" s="289" t="s">
        <v>264</v>
      </c>
      <c r="H28" s="310">
        <v>2019</v>
      </c>
      <c r="I28" s="290">
        <v>1000</v>
      </c>
      <c r="J28" s="296"/>
      <c r="K28" s="288"/>
    </row>
    <row r="29" spans="1:11">
      <c r="A29" s="292"/>
      <c r="B29" s="293"/>
      <c r="C29" s="293"/>
      <c r="D29" s="294"/>
      <c r="E29" s="286"/>
      <c r="F29" s="294"/>
      <c r="G29" s="289"/>
      <c r="H29" s="310">
        <v>2020</v>
      </c>
      <c r="I29" s="290">
        <v>5000</v>
      </c>
      <c r="J29" s="296"/>
      <c r="K29" s="288"/>
    </row>
    <row r="30" spans="1:11">
      <c r="A30" s="292"/>
      <c r="B30" s="293"/>
      <c r="C30" s="293"/>
      <c r="D30" s="294"/>
      <c r="E30" s="286"/>
      <c r="F30" s="294"/>
      <c r="G30" s="289"/>
      <c r="H30" s="310">
        <v>2021</v>
      </c>
      <c r="I30" s="290">
        <v>5000</v>
      </c>
      <c r="J30" s="316">
        <v>4200</v>
      </c>
      <c r="K30" s="288"/>
    </row>
    <row r="31" spans="1:11">
      <c r="A31" s="3"/>
      <c r="B31" s="3"/>
      <c r="C31" s="3"/>
      <c r="D31" s="3"/>
      <c r="E31" s="286"/>
      <c r="F31" s="3"/>
      <c r="G31" s="289"/>
      <c r="H31" s="310"/>
      <c r="I31" s="290"/>
      <c r="J31" s="3"/>
      <c r="K31" s="288"/>
    </row>
    <row r="32" spans="1:11" ht="31.5" customHeight="1">
      <c r="A32" s="3"/>
      <c r="B32" s="3"/>
      <c r="C32" s="3"/>
      <c r="D32" s="3"/>
      <c r="E32" s="286"/>
      <c r="F32" s="3"/>
      <c r="G32" s="351" t="s">
        <v>265</v>
      </c>
      <c r="H32" s="351"/>
      <c r="I32" s="351"/>
      <c r="J32" s="317"/>
      <c r="K32" s="288"/>
    </row>
    <row r="33" spans="1:11">
      <c r="A33" s="299"/>
      <c r="B33" s="3"/>
      <c r="C33" s="3"/>
      <c r="D33" s="3"/>
      <c r="E33" s="3"/>
      <c r="F33" s="3"/>
      <c r="G33" s="298" t="s">
        <v>266</v>
      </c>
      <c r="H33" s="312"/>
      <c r="I33" s="297"/>
      <c r="J33" s="3"/>
      <c r="K33" s="288"/>
    </row>
    <row r="34" spans="1:11">
      <c r="A34" s="3"/>
      <c r="B34" s="3"/>
      <c r="C34" s="3"/>
      <c r="D34" s="3"/>
      <c r="E34" s="3"/>
      <c r="F34" s="3"/>
      <c r="G34" s="289"/>
      <c r="H34" s="310"/>
      <c r="I34" s="290"/>
      <c r="J34" s="3"/>
      <c r="K34" s="288"/>
    </row>
    <row r="35" spans="1:11">
      <c r="A35" s="300"/>
      <c r="B35" s="301"/>
      <c r="C35" s="301"/>
      <c r="D35" s="296"/>
      <c r="E35" s="3"/>
      <c r="F35" s="296"/>
      <c r="G35" s="289"/>
      <c r="H35" s="310"/>
      <c r="I35" s="290"/>
      <c r="J35" s="296"/>
      <c r="K35" s="288"/>
    </row>
    <row r="36" spans="1:11">
      <c r="A36" s="314" t="s">
        <v>283</v>
      </c>
      <c r="B36" s="3"/>
      <c r="C36" s="3"/>
      <c r="D36" s="3"/>
      <c r="E36" s="3"/>
      <c r="F36" s="3"/>
      <c r="G36" s="289"/>
      <c r="H36" s="310"/>
      <c r="I36" s="290"/>
      <c r="J36" s="296"/>
      <c r="K36" s="288"/>
    </row>
    <row r="37" spans="1:11">
      <c r="A37" s="3"/>
      <c r="B37" s="3"/>
      <c r="C37" s="3"/>
      <c r="D37" s="3"/>
      <c r="E37" s="286"/>
      <c r="F37" s="3"/>
      <c r="G37" s="289"/>
      <c r="H37" s="310"/>
      <c r="I37" s="290"/>
      <c r="J37" s="3"/>
      <c r="K37" s="288"/>
    </row>
    <row r="38" spans="1:11">
      <c r="A38" s="292">
        <v>43355</v>
      </c>
      <c r="B38" s="293" t="s">
        <v>267</v>
      </c>
      <c r="C38" s="293" t="s">
        <v>268</v>
      </c>
      <c r="D38" s="294">
        <v>100000</v>
      </c>
      <c r="E38" s="286"/>
      <c r="F38" s="294">
        <v>40000</v>
      </c>
      <c r="G38" s="289" t="s">
        <v>269</v>
      </c>
      <c r="H38" s="310"/>
      <c r="I38" s="290"/>
      <c r="J38" s="3"/>
      <c r="K38" s="288"/>
    </row>
    <row r="39" spans="1:11">
      <c r="A39" s="292"/>
      <c r="B39" s="293"/>
      <c r="C39" s="293"/>
      <c r="D39" s="294"/>
      <c r="E39" s="286"/>
      <c r="F39" s="294"/>
      <c r="G39" s="289" t="s">
        <v>270</v>
      </c>
      <c r="H39" s="310"/>
      <c r="I39" s="290"/>
      <c r="J39" s="294"/>
      <c r="K39" s="288"/>
    </row>
    <row r="40" spans="1:11">
      <c r="A40" s="292"/>
      <c r="B40" s="293"/>
      <c r="C40" s="293"/>
      <c r="D40" s="294"/>
      <c r="E40" s="286"/>
      <c r="F40" s="294"/>
      <c r="G40" s="289" t="s">
        <v>271</v>
      </c>
      <c r="H40" s="310"/>
      <c r="I40" s="290"/>
      <c r="J40" s="294"/>
      <c r="K40" s="288"/>
    </row>
    <row r="41" spans="1:11">
      <c r="A41" s="292"/>
      <c r="B41" s="293"/>
      <c r="C41" s="293"/>
      <c r="D41" s="294"/>
      <c r="E41" s="286"/>
      <c r="F41" s="294"/>
      <c r="G41" s="289" t="s">
        <v>272</v>
      </c>
      <c r="H41" s="310"/>
      <c r="I41" s="290"/>
      <c r="J41" s="294"/>
      <c r="K41" s="288"/>
    </row>
    <row r="42" spans="1:11">
      <c r="A42" s="292"/>
      <c r="B42" s="293"/>
      <c r="C42" s="293"/>
      <c r="D42" s="294"/>
      <c r="E42" s="286"/>
      <c r="F42" s="294"/>
      <c r="G42" s="289" t="s">
        <v>273</v>
      </c>
      <c r="H42" s="310"/>
      <c r="I42" s="290"/>
      <c r="J42" s="294"/>
      <c r="K42" s="288"/>
    </row>
    <row r="43" spans="1:11">
      <c r="A43" s="292"/>
      <c r="B43" s="293"/>
      <c r="C43" s="293"/>
      <c r="D43" s="294"/>
      <c r="E43" s="286"/>
      <c r="F43" s="294"/>
      <c r="G43" s="289" t="s">
        <v>274</v>
      </c>
      <c r="H43" s="310"/>
      <c r="I43" s="290"/>
      <c r="J43" s="294"/>
      <c r="K43" s="288"/>
    </row>
    <row r="44" spans="1:11">
      <c r="A44" s="292"/>
      <c r="B44" s="293"/>
      <c r="C44" s="293"/>
      <c r="D44" s="294"/>
      <c r="E44" s="286"/>
      <c r="F44" s="294"/>
      <c r="G44" s="289"/>
      <c r="H44" s="318" t="s">
        <v>275</v>
      </c>
      <c r="I44" s="319">
        <v>10000</v>
      </c>
      <c r="J44" s="294"/>
      <c r="K44" s="288"/>
    </row>
    <row r="45" spans="1:11">
      <c r="A45" s="292"/>
      <c r="B45" s="293"/>
      <c r="C45" s="293"/>
      <c r="D45" s="294"/>
      <c r="E45" s="286"/>
      <c r="F45" s="294"/>
      <c r="G45" s="289"/>
      <c r="H45" s="310" t="s">
        <v>276</v>
      </c>
      <c r="I45" s="290">
        <v>10000</v>
      </c>
      <c r="J45" s="294"/>
      <c r="K45" s="288"/>
    </row>
    <row r="46" spans="1:11">
      <c r="A46" s="292"/>
      <c r="B46" s="293"/>
      <c r="C46" s="293"/>
      <c r="D46" s="294"/>
      <c r="E46" s="286"/>
      <c r="F46" s="294"/>
      <c r="G46" s="289"/>
      <c r="H46" s="310" t="s">
        <v>277</v>
      </c>
      <c r="I46" s="290">
        <v>10000</v>
      </c>
      <c r="J46" s="294"/>
      <c r="K46" s="288"/>
    </row>
    <row r="47" spans="1:11">
      <c r="A47" s="3"/>
      <c r="B47" s="3"/>
      <c r="C47" s="3"/>
      <c r="D47" s="3"/>
      <c r="E47" s="286"/>
      <c r="F47" s="3"/>
      <c r="G47" s="289"/>
      <c r="H47" s="310" t="s">
        <v>278</v>
      </c>
      <c r="I47" s="290">
        <v>10000</v>
      </c>
      <c r="J47" s="315">
        <v>40000</v>
      </c>
      <c r="K47" s="288"/>
    </row>
    <row r="48" spans="1:11">
      <c r="A48" s="3"/>
      <c r="B48" s="3"/>
      <c r="C48" s="3"/>
      <c r="D48" s="3"/>
      <c r="E48" s="286"/>
      <c r="F48" s="3"/>
      <c r="G48" s="289"/>
      <c r="H48" s="310"/>
      <c r="I48" s="290"/>
      <c r="J48" s="3"/>
      <c r="K48" s="288"/>
    </row>
    <row r="49" spans="1:11">
      <c r="A49" s="292"/>
      <c r="B49" s="293"/>
      <c r="C49" s="293"/>
      <c r="D49" s="294"/>
      <c r="E49" s="286"/>
      <c r="F49" s="294"/>
      <c r="G49" s="289"/>
      <c r="H49" s="310"/>
      <c r="I49" s="290"/>
      <c r="J49" s="294"/>
      <c r="K49" s="288"/>
    </row>
    <row r="50" spans="1:11">
      <c r="A50" s="292" t="s">
        <v>279</v>
      </c>
      <c r="B50" s="293" t="s">
        <v>280</v>
      </c>
      <c r="C50" s="293">
        <v>2002</v>
      </c>
      <c r="D50" s="294">
        <v>20000</v>
      </c>
      <c r="E50" s="286"/>
      <c r="F50" s="294">
        <v>13333.34</v>
      </c>
      <c r="G50" s="289"/>
      <c r="H50" s="310" t="s">
        <v>281</v>
      </c>
      <c r="I50" s="294">
        <f>C50-E50</f>
        <v>2002</v>
      </c>
      <c r="J50" s="315">
        <f>D50-F50</f>
        <v>6666.66</v>
      </c>
      <c r="K50" s="288"/>
    </row>
    <row r="51" spans="1:11">
      <c r="A51" s="292"/>
      <c r="B51" s="293"/>
      <c r="C51" s="293"/>
      <c r="D51" s="294"/>
      <c r="E51" s="286"/>
      <c r="F51" s="294"/>
      <c r="G51" s="289"/>
      <c r="H51" s="310"/>
      <c r="I51" s="290"/>
      <c r="J51" s="294"/>
      <c r="K51" s="288"/>
    </row>
    <row r="52" spans="1:11">
      <c r="A52" s="292"/>
      <c r="B52" s="293"/>
      <c r="C52" s="293"/>
      <c r="D52" s="294"/>
      <c r="E52" s="286"/>
      <c r="F52" s="294"/>
      <c r="G52" s="289"/>
      <c r="H52" s="310"/>
      <c r="I52" s="290"/>
      <c r="J52" s="294"/>
      <c r="K52" s="288"/>
    </row>
    <row r="53" spans="1:11">
      <c r="A53" s="3"/>
      <c r="B53" s="3"/>
      <c r="C53" s="3"/>
      <c r="D53" s="3"/>
      <c r="E53" s="286"/>
      <c r="F53" s="3"/>
      <c r="G53" s="289"/>
      <c r="H53" s="310"/>
      <c r="I53" s="290"/>
      <c r="J53" s="3"/>
      <c r="K53" s="288"/>
    </row>
    <row r="54" spans="1:11">
      <c r="A54" s="3"/>
      <c r="B54" s="3"/>
      <c r="C54" s="3"/>
      <c r="D54" s="3"/>
      <c r="E54" s="286"/>
      <c r="F54" s="3"/>
      <c r="G54" s="289"/>
      <c r="H54" s="310"/>
      <c r="I54" s="290"/>
      <c r="J54" s="3"/>
      <c r="K54" s="288"/>
    </row>
    <row r="55" spans="1:11" ht="13.5" thickBot="1">
      <c r="A55" s="3"/>
      <c r="B55" s="291" t="s">
        <v>282</v>
      </c>
      <c r="C55" s="3"/>
      <c r="D55" s="294"/>
      <c r="E55" s="286"/>
      <c r="F55" s="294"/>
      <c r="G55" s="289"/>
      <c r="H55" s="310" t="s">
        <v>284</v>
      </c>
      <c r="I55" s="290"/>
      <c r="J55" s="307">
        <f>SUM(J16:J51)</f>
        <v>55866.66</v>
      </c>
      <c r="K55" s="288"/>
    </row>
    <row r="56" spans="1:11" ht="14.25" thickTop="1" thickBot="1">
      <c r="A56" s="302"/>
      <c r="B56" s="302"/>
      <c r="C56" s="302"/>
      <c r="D56" s="302"/>
      <c r="E56" s="303"/>
      <c r="F56" s="302"/>
      <c r="G56" s="304"/>
      <c r="H56" s="313"/>
      <c r="I56" s="305"/>
      <c r="J56" s="302"/>
      <c r="K56" s="306"/>
    </row>
  </sheetData>
  <mergeCells count="3">
    <mergeCell ref="A4:J4"/>
    <mergeCell ref="H6:I6"/>
    <mergeCell ref="G32:I3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FF"/>
  </sheetPr>
  <dimension ref="A1:I25"/>
  <sheetViews>
    <sheetView topLeftCell="A6" zoomScale="98" zoomScaleNormal="196" workbookViewId="0">
      <selection activeCell="G22" sqref="G22"/>
    </sheetView>
  </sheetViews>
  <sheetFormatPr defaultColWidth="9.140625" defaultRowHeight="12.75"/>
  <cols>
    <col min="1" max="1" width="16.42578125" style="163" bestFit="1" customWidth="1"/>
    <col min="2" max="2" width="16.42578125" style="28" customWidth="1"/>
    <col min="3" max="3" width="15.85546875" customWidth="1"/>
    <col min="4" max="4" width="19.28515625" customWidth="1"/>
    <col min="5" max="5" width="20" customWidth="1"/>
    <col min="6" max="6" width="10" style="128" bestFit="1" customWidth="1"/>
    <col min="7" max="7" width="16" style="252" bestFit="1" customWidth="1"/>
    <col min="8" max="9" width="9.28515625" bestFit="1" customWidth="1"/>
  </cols>
  <sheetData>
    <row r="1" spans="1:9">
      <c r="A1" s="167"/>
      <c r="B1" s="220"/>
    </row>
    <row r="2" spans="1:9">
      <c r="A2" s="144" t="s">
        <v>129</v>
      </c>
      <c r="B2" s="221"/>
      <c r="F2" s="257"/>
    </row>
    <row r="3" spans="1:9">
      <c r="A3" s="144"/>
      <c r="B3" s="221"/>
      <c r="F3" s="257"/>
    </row>
    <row r="4" spans="1:9">
      <c r="B4" s="28" t="s">
        <v>227</v>
      </c>
      <c r="C4" t="s">
        <v>226</v>
      </c>
      <c r="D4" t="s">
        <v>228</v>
      </c>
      <c r="E4" t="s">
        <v>225</v>
      </c>
      <c r="G4" s="253" t="s">
        <v>124</v>
      </c>
    </row>
    <row r="5" spans="1:9">
      <c r="A5" s="163" t="s">
        <v>123</v>
      </c>
      <c r="B5" s="28">
        <v>2554551.4</v>
      </c>
      <c r="C5" s="340">
        <v>5.0999999999999997E-2</v>
      </c>
      <c r="E5" s="239">
        <v>45709</v>
      </c>
      <c r="F5" s="129"/>
      <c r="G5" s="253">
        <v>130282.12</v>
      </c>
    </row>
    <row r="6" spans="1:9">
      <c r="F6" s="129"/>
    </row>
    <row r="7" spans="1:9">
      <c r="A7" s="163" t="s">
        <v>221</v>
      </c>
      <c r="B7" s="28">
        <v>6509007.04</v>
      </c>
      <c r="C7" s="340">
        <v>4.4999999999999998E-2</v>
      </c>
      <c r="E7" s="341" t="s">
        <v>309</v>
      </c>
      <c r="F7" s="129"/>
      <c r="G7" s="253">
        <v>292905.32</v>
      </c>
      <c r="I7" t="s">
        <v>307</v>
      </c>
    </row>
    <row r="8" spans="1:9">
      <c r="A8" s="163" t="s">
        <v>222</v>
      </c>
      <c r="B8" s="28">
        <v>2000000</v>
      </c>
      <c r="C8" s="340">
        <v>5.2499999999999998E-2</v>
      </c>
      <c r="D8" s="239"/>
      <c r="E8" s="239">
        <v>45617</v>
      </c>
      <c r="F8" s="129"/>
      <c r="G8" s="253">
        <v>105000</v>
      </c>
      <c r="I8" t="s">
        <v>306</v>
      </c>
    </row>
    <row r="9" spans="1:9">
      <c r="A9" s="163" t="s">
        <v>167</v>
      </c>
      <c r="B9" s="28">
        <v>4000000</v>
      </c>
      <c r="C9" s="340">
        <v>4.7E-2</v>
      </c>
      <c r="D9" s="239"/>
      <c r="E9" s="239">
        <v>46010</v>
      </c>
      <c r="F9" s="129"/>
      <c r="G9" s="253">
        <v>188000</v>
      </c>
      <c r="I9" t="s">
        <v>305</v>
      </c>
    </row>
    <row r="10" spans="1:9">
      <c r="F10" s="129"/>
      <c r="G10" s="253"/>
    </row>
    <row r="11" spans="1:9">
      <c r="A11" s="163" t="s">
        <v>125</v>
      </c>
      <c r="E11" s="341" t="s">
        <v>309</v>
      </c>
      <c r="F11" s="129"/>
      <c r="G11" s="253">
        <v>2400</v>
      </c>
    </row>
    <row r="12" spans="1:9">
      <c r="F12" s="129"/>
      <c r="G12" s="253"/>
    </row>
    <row r="13" spans="1:9">
      <c r="A13" s="164" t="s">
        <v>126</v>
      </c>
      <c r="E13" s="341" t="s">
        <v>309</v>
      </c>
      <c r="F13" s="129"/>
      <c r="G13" s="253">
        <v>5000</v>
      </c>
    </row>
    <row r="14" spans="1:9" ht="13.5" thickBot="1">
      <c r="F14" s="129"/>
      <c r="G14" s="254">
        <f>SUM(G5:G13)</f>
        <v>723587.44</v>
      </c>
    </row>
    <row r="15" spans="1:9" ht="13.5" thickTop="1"/>
    <row r="16" spans="1:9">
      <c r="A16" s="163" t="s">
        <v>223</v>
      </c>
      <c r="G16" s="255"/>
    </row>
    <row r="18" spans="1:7" ht="13.5" thickBot="1">
      <c r="G18" s="256">
        <f>SUM(G14:G17)</f>
        <v>723587.44</v>
      </c>
    </row>
    <row r="19" spans="1:7" ht="13.5" thickTop="1"/>
    <row r="21" spans="1:7" ht="13.5" thickBot="1">
      <c r="E21" s="186" t="s">
        <v>224</v>
      </c>
      <c r="F21" s="178"/>
      <c r="G21" s="342">
        <v>600000</v>
      </c>
    </row>
    <row r="22" spans="1:7" ht="13.5" thickTop="1">
      <c r="F22" s="178"/>
    </row>
    <row r="23" spans="1:7">
      <c r="F23" s="178"/>
    </row>
    <row r="24" spans="1:7">
      <c r="F24" s="178"/>
    </row>
    <row r="25" spans="1:7">
      <c r="A25" s="163" t="s">
        <v>308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2E841-DC60-4FDE-BC7F-64A6B04E245E}">
  <sheetPr>
    <tabColor rgb="FFFF00FF"/>
  </sheetPr>
  <dimension ref="A1:H43"/>
  <sheetViews>
    <sheetView workbookViewId="0">
      <selection activeCell="E3" sqref="E3"/>
    </sheetView>
  </sheetViews>
  <sheetFormatPr defaultRowHeight="12.75"/>
  <cols>
    <col min="1" max="1" width="14.7109375" customWidth="1"/>
  </cols>
  <sheetData>
    <row r="1" spans="1:8">
      <c r="A1" s="142" t="s">
        <v>188</v>
      </c>
      <c r="B1" s="142"/>
      <c r="C1" s="142"/>
    </row>
    <row r="3" spans="1:8">
      <c r="A3" s="142" t="s">
        <v>189</v>
      </c>
      <c r="B3" s="142"/>
      <c r="C3" s="142"/>
      <c r="E3" s="324"/>
    </row>
    <row r="5" spans="1:8">
      <c r="A5">
        <v>1</v>
      </c>
      <c r="B5">
        <v>10000</v>
      </c>
    </row>
    <row r="6" spans="1:8">
      <c r="A6">
        <v>2</v>
      </c>
      <c r="B6">
        <v>10000</v>
      </c>
    </row>
    <row r="7" spans="1:8">
      <c r="A7">
        <v>3</v>
      </c>
      <c r="B7">
        <v>10000</v>
      </c>
    </row>
    <row r="8" spans="1:8">
      <c r="A8">
        <v>4</v>
      </c>
      <c r="B8">
        <v>10000</v>
      </c>
    </row>
    <row r="9" spans="1:8" ht="13.5" thickBot="1">
      <c r="B9" s="336">
        <f>SUM(B5:B8)</f>
        <v>40000</v>
      </c>
    </row>
    <row r="10" spans="1:8" ht="13.5" thickTop="1"/>
    <row r="11" spans="1:8">
      <c r="B11" s="337"/>
    </row>
    <row r="14" spans="1:8">
      <c r="A14" s="142" t="s">
        <v>190</v>
      </c>
      <c r="B14" s="142"/>
      <c r="C14" s="142"/>
      <c r="E14" s="324"/>
      <c r="F14" s="324"/>
      <c r="G14" s="324"/>
      <c r="H14" s="324"/>
    </row>
    <row r="16" spans="1:8">
      <c r="A16">
        <v>1</v>
      </c>
      <c r="B16">
        <v>9500</v>
      </c>
      <c r="C16" t="s">
        <v>288</v>
      </c>
    </row>
    <row r="17" spans="1:4">
      <c r="A17">
        <v>2</v>
      </c>
      <c r="B17">
        <v>3800</v>
      </c>
      <c r="C17" t="s">
        <v>289</v>
      </c>
    </row>
    <row r="18" spans="1:4">
      <c r="A18">
        <v>3</v>
      </c>
      <c r="B18">
        <v>8500</v>
      </c>
      <c r="C18" t="s">
        <v>290</v>
      </c>
    </row>
    <row r="19" spans="1:4">
      <c r="A19" t="s">
        <v>191</v>
      </c>
      <c r="B19" s="238">
        <f>SUM(B16:B18)</f>
        <v>21800</v>
      </c>
    </row>
    <row r="21" spans="1:4">
      <c r="A21" t="s">
        <v>192</v>
      </c>
      <c r="B21" s="238">
        <v>10200</v>
      </c>
      <c r="D21" t="s">
        <v>196</v>
      </c>
    </row>
    <row r="23" spans="1:4" ht="13.5" thickBot="1">
      <c r="A23" t="s">
        <v>193</v>
      </c>
      <c r="B23" s="323">
        <f>SUM(B19:B22)</f>
        <v>32000</v>
      </c>
    </row>
    <row r="24" spans="1:4" ht="13.5" thickTop="1"/>
    <row r="27" spans="1:4">
      <c r="A27" t="s">
        <v>195</v>
      </c>
    </row>
    <row r="28" spans="1:4">
      <c r="A28" t="s">
        <v>194</v>
      </c>
    </row>
    <row r="31" spans="1:4">
      <c r="A31" s="142" t="s">
        <v>200</v>
      </c>
      <c r="B31" s="142"/>
      <c r="C31" s="142"/>
    </row>
    <row r="33" spans="2:3">
      <c r="B33">
        <f>200*4</f>
        <v>800</v>
      </c>
      <c r="C33" t="s">
        <v>201</v>
      </c>
    </row>
    <row r="34" spans="2:3">
      <c r="B34">
        <v>6450</v>
      </c>
      <c r="C34" t="s">
        <v>285</v>
      </c>
    </row>
    <row r="35" spans="2:3">
      <c r="B35">
        <v>930</v>
      </c>
      <c r="C35" t="s">
        <v>203</v>
      </c>
    </row>
    <row r="36" spans="2:3">
      <c r="B36">
        <v>8700</v>
      </c>
      <c r="C36" t="s">
        <v>202</v>
      </c>
    </row>
    <row r="37" spans="2:3">
      <c r="B37">
        <v>100</v>
      </c>
      <c r="C37" t="s">
        <v>286</v>
      </c>
    </row>
    <row r="38" spans="2:3">
      <c r="B38">
        <v>250</v>
      </c>
      <c r="C38" t="s">
        <v>287</v>
      </c>
    </row>
    <row r="39" spans="2:3" ht="13.5" thickBot="1">
      <c r="B39" s="323">
        <f>SUM(B33:B38)</f>
        <v>17230</v>
      </c>
    </row>
    <row r="40" spans="2:3" ht="13.5" thickTop="1"/>
    <row r="43" spans="2:3">
      <c r="B43" s="12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FF"/>
  </sheetPr>
  <dimension ref="A1:S24"/>
  <sheetViews>
    <sheetView workbookViewId="0">
      <selection activeCell="F10" sqref="F10"/>
    </sheetView>
  </sheetViews>
  <sheetFormatPr defaultColWidth="9.140625" defaultRowHeight="12.75"/>
  <cols>
    <col min="6" max="6" width="11" style="170" bestFit="1" customWidth="1"/>
    <col min="7" max="7" width="11" style="28" bestFit="1" customWidth="1"/>
    <col min="11" max="11" width="2.42578125" customWidth="1"/>
    <col min="12" max="12" width="11.140625" customWidth="1"/>
    <col min="16" max="16" width="10.7109375" customWidth="1"/>
    <col min="19" max="19" width="10.85546875" customWidth="1"/>
  </cols>
  <sheetData>
    <row r="1" spans="1:19">
      <c r="A1" s="144" t="s">
        <v>112</v>
      </c>
      <c r="B1" s="142"/>
      <c r="C1" s="142"/>
      <c r="D1" s="142"/>
      <c r="E1" s="142"/>
      <c r="F1" s="174"/>
      <c r="G1" s="143"/>
      <c r="H1" s="142"/>
      <c r="I1" s="142"/>
      <c r="J1" s="142"/>
    </row>
    <row r="3" spans="1:19">
      <c r="A3" s="27" t="s">
        <v>81</v>
      </c>
      <c r="B3" t="s">
        <v>127</v>
      </c>
      <c r="F3" s="169">
        <v>2000</v>
      </c>
      <c r="H3" s="132"/>
      <c r="L3" s="28"/>
      <c r="Q3" s="128"/>
      <c r="R3" s="128"/>
      <c r="S3" s="129"/>
    </row>
    <row r="4" spans="1:19">
      <c r="B4" t="s">
        <v>89</v>
      </c>
      <c r="F4" s="170">
        <v>0</v>
      </c>
      <c r="H4" s="132"/>
      <c r="L4" s="28"/>
      <c r="S4" s="28"/>
    </row>
    <row r="5" spans="1:19">
      <c r="B5" s="132" t="s">
        <v>104</v>
      </c>
      <c r="F5" s="170">
        <v>0</v>
      </c>
      <c r="H5" s="132"/>
      <c r="L5" s="28"/>
      <c r="S5" s="28"/>
    </row>
    <row r="6" spans="1:19">
      <c r="B6" t="s">
        <v>94</v>
      </c>
      <c r="F6" s="170">
        <v>0</v>
      </c>
      <c r="H6" s="132" t="s">
        <v>106</v>
      </c>
      <c r="L6" s="28"/>
    </row>
    <row r="7" spans="1:19">
      <c r="B7" s="132" t="s">
        <v>93</v>
      </c>
      <c r="F7" s="170">
        <v>10000</v>
      </c>
      <c r="G7" s="136"/>
      <c r="H7" s="132" t="s">
        <v>106</v>
      </c>
      <c r="L7" s="28"/>
    </row>
    <row r="8" spans="1:19">
      <c r="B8" s="132" t="s">
        <v>164</v>
      </c>
      <c r="F8" s="170">
        <v>0</v>
      </c>
      <c r="G8" s="136"/>
      <c r="H8" s="132" t="s">
        <v>183</v>
      </c>
      <c r="L8" s="28"/>
    </row>
    <row r="9" spans="1:19">
      <c r="B9" s="132"/>
      <c r="G9" s="136"/>
      <c r="H9" s="132"/>
      <c r="L9" s="28"/>
    </row>
    <row r="10" spans="1:19" ht="13.5" thickBot="1">
      <c r="F10" s="346">
        <f>SUM(F3:F9)</f>
        <v>12000</v>
      </c>
      <c r="L10" s="129"/>
    </row>
    <row r="11" spans="1:19" ht="13.5" thickTop="1"/>
    <row r="12" spans="1:19">
      <c r="A12" s="132" t="s">
        <v>105</v>
      </c>
    </row>
    <row r="13" spans="1:19">
      <c r="A13" s="132"/>
    </row>
    <row r="14" spans="1:19">
      <c r="A14" s="132" t="s">
        <v>184</v>
      </c>
      <c r="B14" s="130"/>
      <c r="C14" s="130"/>
      <c r="D14" s="130"/>
      <c r="E14" s="130"/>
      <c r="F14" s="175"/>
      <c r="G14" s="131"/>
      <c r="H14" s="130"/>
      <c r="I14" s="130"/>
      <c r="J14" s="130"/>
    </row>
    <row r="15" spans="1:19">
      <c r="B15" s="130"/>
      <c r="C15" s="130"/>
      <c r="D15" s="130"/>
      <c r="E15" s="130"/>
      <c r="F15" s="175"/>
      <c r="G15" s="131"/>
      <c r="H15" s="130"/>
      <c r="I15" s="130"/>
      <c r="J15" s="130"/>
    </row>
    <row r="16" spans="1:19">
      <c r="A16" s="132" t="s">
        <v>185</v>
      </c>
      <c r="B16" s="130"/>
      <c r="C16" s="130"/>
      <c r="D16" s="130"/>
      <c r="E16" s="130"/>
      <c r="F16" s="175"/>
      <c r="G16" s="131"/>
      <c r="H16" s="130"/>
      <c r="I16" s="130"/>
      <c r="J16" s="130"/>
    </row>
    <row r="17" spans="2:10">
      <c r="B17" s="130"/>
      <c r="C17" s="130"/>
      <c r="D17" s="130"/>
      <c r="E17" s="130"/>
      <c r="F17" s="175"/>
      <c r="G17" s="131"/>
      <c r="H17" s="130"/>
      <c r="I17" s="130"/>
      <c r="J17" s="130"/>
    </row>
    <row r="18" spans="2:10">
      <c r="B18" s="130"/>
      <c r="C18" s="130"/>
      <c r="D18" s="130"/>
      <c r="E18" s="130"/>
      <c r="F18" s="175"/>
      <c r="G18" s="131"/>
      <c r="H18" s="130"/>
      <c r="I18" s="130"/>
      <c r="J18" s="130"/>
    </row>
    <row r="19" spans="2:10">
      <c r="B19" s="130"/>
      <c r="C19" s="130"/>
      <c r="D19" s="130"/>
      <c r="E19" s="130"/>
      <c r="F19" s="175"/>
      <c r="G19" s="131"/>
      <c r="H19" s="130"/>
      <c r="I19" s="130"/>
      <c r="J19" s="130"/>
    </row>
    <row r="20" spans="2:10">
      <c r="B20" s="130"/>
      <c r="C20" s="130"/>
      <c r="D20" s="130"/>
      <c r="E20" s="130"/>
      <c r="F20" s="175"/>
      <c r="G20" s="131"/>
      <c r="H20" s="130"/>
      <c r="I20" s="130"/>
      <c r="J20" s="130"/>
    </row>
    <row r="21" spans="2:10">
      <c r="B21" s="130"/>
      <c r="C21" s="130"/>
      <c r="D21" s="130"/>
      <c r="E21" s="130"/>
      <c r="F21" s="175"/>
      <c r="G21" s="131"/>
      <c r="H21" s="130"/>
      <c r="I21" s="130"/>
      <c r="J21" s="130"/>
    </row>
    <row r="22" spans="2:10">
      <c r="B22" s="130"/>
      <c r="C22" s="130"/>
      <c r="D22" s="130"/>
      <c r="E22" s="130"/>
      <c r="F22" s="175"/>
      <c r="G22" s="131"/>
      <c r="H22" s="130"/>
      <c r="I22" s="130"/>
      <c r="J22" s="130"/>
    </row>
    <row r="24" spans="2:10">
      <c r="C24" s="132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89671-5A0D-499D-808E-E80730445A5E}">
  <sheetPr>
    <tabColor rgb="FFFF33CC"/>
  </sheetPr>
  <dimension ref="A1:D14"/>
  <sheetViews>
    <sheetView topLeftCell="A11" workbookViewId="0">
      <selection activeCell="G6" sqref="G6"/>
    </sheetView>
  </sheetViews>
  <sheetFormatPr defaultColWidth="8.85546875" defaultRowHeight="15"/>
  <cols>
    <col min="1" max="1" width="8.85546875" style="223"/>
    <col min="2" max="2" width="29.140625" style="223" bestFit="1" customWidth="1"/>
    <col min="3" max="3" width="19.85546875" style="225" customWidth="1"/>
    <col min="4" max="4" width="44.5703125" style="223" customWidth="1"/>
    <col min="5" max="16384" width="8.85546875" style="223"/>
  </cols>
  <sheetData>
    <row r="1" spans="1:4">
      <c r="A1" s="224" t="s">
        <v>182</v>
      </c>
    </row>
    <row r="3" spans="1:4" ht="24" customHeight="1">
      <c r="A3" s="352"/>
      <c r="B3" s="352"/>
      <c r="C3" s="352"/>
      <c r="D3" s="352"/>
    </row>
    <row r="4" spans="1:4" ht="60" customHeight="1">
      <c r="A4" s="263" t="s">
        <v>173</v>
      </c>
      <c r="B4" s="353" t="s">
        <v>233</v>
      </c>
      <c r="C4" s="354"/>
      <c r="D4" s="355"/>
    </row>
    <row r="5" spans="1:4" ht="60" customHeight="1">
      <c r="A5" s="264">
        <v>1</v>
      </c>
      <c r="B5" s="264" t="s">
        <v>234</v>
      </c>
      <c r="C5" s="265">
        <v>5822</v>
      </c>
      <c r="D5" s="266" t="s">
        <v>235</v>
      </c>
    </row>
    <row r="6" spans="1:4" ht="60" customHeight="1">
      <c r="A6" s="263">
        <v>2</v>
      </c>
      <c r="B6" s="263" t="s">
        <v>236</v>
      </c>
      <c r="C6" s="267">
        <v>1000</v>
      </c>
      <c r="D6" s="268" t="s">
        <v>242</v>
      </c>
    </row>
    <row r="7" spans="1:4" ht="60" customHeight="1">
      <c r="A7" s="263">
        <v>3</v>
      </c>
      <c r="B7" s="263" t="s">
        <v>237</v>
      </c>
      <c r="C7" s="267"/>
      <c r="D7" s="269" t="s">
        <v>329</v>
      </c>
    </row>
    <row r="8" spans="1:4" ht="60" customHeight="1">
      <c r="A8" s="263">
        <v>4</v>
      </c>
      <c r="B8" s="263" t="s">
        <v>174</v>
      </c>
      <c r="C8" s="267">
        <v>1400</v>
      </c>
      <c r="D8" s="269" t="s">
        <v>175</v>
      </c>
    </row>
    <row r="9" spans="1:4" ht="60" customHeight="1">
      <c r="A9" s="263">
        <v>5</v>
      </c>
      <c r="B9" s="263" t="s">
        <v>176</v>
      </c>
      <c r="C9" s="267">
        <v>125</v>
      </c>
      <c r="D9" s="263"/>
    </row>
    <row r="10" spans="1:4" ht="60" customHeight="1">
      <c r="A10" s="263">
        <v>6</v>
      </c>
      <c r="B10" s="263" t="s">
        <v>177</v>
      </c>
      <c r="C10" s="275">
        <v>3000</v>
      </c>
      <c r="D10" s="269" t="s">
        <v>243</v>
      </c>
    </row>
    <row r="11" spans="1:4" ht="60" customHeight="1">
      <c r="A11" s="264">
        <v>7</v>
      </c>
      <c r="B11" s="264" t="s">
        <v>178</v>
      </c>
      <c r="C11" s="270"/>
      <c r="D11" s="266" t="s">
        <v>330</v>
      </c>
    </row>
    <row r="12" spans="1:4" ht="60" customHeight="1">
      <c r="A12" s="263">
        <v>8</v>
      </c>
      <c r="B12" s="263" t="s">
        <v>180</v>
      </c>
      <c r="C12" s="267">
        <v>310</v>
      </c>
      <c r="D12" s="263" t="s">
        <v>244</v>
      </c>
    </row>
    <row r="13" spans="1:4" ht="60" customHeight="1">
      <c r="A13" s="263">
        <v>9</v>
      </c>
      <c r="B13" s="263" t="s">
        <v>238</v>
      </c>
      <c r="C13" s="267">
        <v>2100</v>
      </c>
      <c r="D13" s="269" t="s">
        <v>239</v>
      </c>
    </row>
    <row r="14" spans="1:4" ht="60" customHeight="1">
      <c r="A14" s="263"/>
      <c r="B14" s="271" t="s">
        <v>240</v>
      </c>
      <c r="C14" s="272">
        <f>SUM(C5:C13)</f>
        <v>13757</v>
      </c>
      <c r="D14" s="263"/>
    </row>
  </sheetData>
  <mergeCells count="2">
    <mergeCell ref="A3:D3"/>
    <mergeCell ref="B4:D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F718F-B733-4F44-8B72-60CEDFB5FD0D}">
  <sheetPr>
    <tabColor rgb="FFFF33CC"/>
  </sheetPr>
  <dimension ref="A1:I8"/>
  <sheetViews>
    <sheetView workbookViewId="0">
      <selection activeCell="B12" sqref="B12"/>
    </sheetView>
  </sheetViews>
  <sheetFormatPr defaultColWidth="8.85546875" defaultRowHeight="15"/>
  <cols>
    <col min="1" max="1" width="8.85546875" style="223"/>
    <col min="2" max="2" width="29.140625" style="223" bestFit="1" customWidth="1"/>
    <col min="3" max="3" width="19.85546875" style="225" customWidth="1"/>
    <col min="4" max="4" width="44.5703125" style="223" customWidth="1"/>
    <col min="5" max="16384" width="8.85546875" style="223"/>
  </cols>
  <sheetData>
    <row r="1" spans="1:9">
      <c r="A1" s="227" t="s">
        <v>186</v>
      </c>
      <c r="B1" s="228"/>
      <c r="C1" s="229"/>
      <c r="D1" s="228"/>
    </row>
    <row r="3" spans="1:9">
      <c r="A3" s="273" t="s">
        <v>241</v>
      </c>
    </row>
    <row r="4" spans="1:9" ht="60">
      <c r="A4" s="232"/>
      <c r="B4" s="232" t="s">
        <v>177</v>
      </c>
      <c r="C4" s="233">
        <v>4000</v>
      </c>
      <c r="D4" s="234" t="s">
        <v>187</v>
      </c>
    </row>
    <row r="5" spans="1:9" ht="30">
      <c r="A5" s="232"/>
      <c r="B5" s="232" t="s">
        <v>178</v>
      </c>
      <c r="C5" s="233"/>
      <c r="D5" s="235" t="s">
        <v>179</v>
      </c>
      <c r="G5" s="230"/>
      <c r="H5" s="231"/>
      <c r="I5" s="231"/>
    </row>
    <row r="6" spans="1:9">
      <c r="A6" s="222"/>
      <c r="B6" s="222"/>
      <c r="C6" s="226">
        <v>2000</v>
      </c>
      <c r="D6" s="251" t="s">
        <v>220</v>
      </c>
    </row>
    <row r="7" spans="1:9" ht="15.75" thickBot="1">
      <c r="C7" s="236">
        <f>SUM(C4:C6)</f>
        <v>6000</v>
      </c>
    </row>
    <row r="8" spans="1:9" ht="15.75" thickTop="1"/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  <pageSetUpPr fitToPage="1"/>
  </sheetPr>
  <dimension ref="A2:K38"/>
  <sheetViews>
    <sheetView topLeftCell="B1" workbookViewId="0">
      <selection activeCell="H17" sqref="H17"/>
    </sheetView>
  </sheetViews>
  <sheetFormatPr defaultColWidth="9.140625" defaultRowHeight="12.75"/>
  <cols>
    <col min="1" max="1" width="9.140625" customWidth="1"/>
    <col min="8" max="8" width="11" style="170" bestFit="1" customWidth="1"/>
    <col min="10" max="10" width="18.5703125" customWidth="1"/>
  </cols>
  <sheetData>
    <row r="2" spans="1:11">
      <c r="A2" s="142" t="s">
        <v>71</v>
      </c>
      <c r="B2" s="142" t="s">
        <v>72</v>
      </c>
      <c r="C2" s="142"/>
      <c r="D2" s="142"/>
      <c r="E2" s="142"/>
      <c r="F2" s="142"/>
      <c r="G2" s="142"/>
      <c r="H2" s="174"/>
      <c r="I2" s="142"/>
      <c r="J2" s="27"/>
      <c r="K2" s="27"/>
    </row>
    <row r="3" spans="1:11">
      <c r="J3" s="27"/>
      <c r="K3" s="27"/>
    </row>
    <row r="5" spans="1:11">
      <c r="J5" s="27"/>
    </row>
    <row r="6" spans="1:11">
      <c r="J6" s="27"/>
    </row>
    <row r="7" spans="1:11">
      <c r="B7" t="s">
        <v>118</v>
      </c>
      <c r="H7" s="170">
        <v>0</v>
      </c>
      <c r="J7" s="132" t="s">
        <v>117</v>
      </c>
    </row>
    <row r="8" spans="1:11">
      <c r="B8" t="s">
        <v>73</v>
      </c>
      <c r="H8" s="169">
        <v>1000</v>
      </c>
      <c r="J8" s="132" t="s">
        <v>117</v>
      </c>
    </row>
    <row r="9" spans="1:11">
      <c r="B9" t="s">
        <v>153</v>
      </c>
      <c r="H9" s="169">
        <v>2000</v>
      </c>
      <c r="J9" s="132"/>
      <c r="K9" t="s">
        <v>151</v>
      </c>
    </row>
    <row r="10" spans="1:11">
      <c r="B10" s="132" t="s">
        <v>327</v>
      </c>
      <c r="H10" s="170">
        <v>1500</v>
      </c>
      <c r="J10" s="132"/>
    </row>
    <row r="11" spans="1:11">
      <c r="B11" s="132" t="s">
        <v>328</v>
      </c>
      <c r="H11" s="170">
        <v>4800</v>
      </c>
    </row>
    <row r="12" spans="1:11">
      <c r="H12" s="176">
        <f>SUM(H5:H11)</f>
        <v>9300</v>
      </c>
    </row>
    <row r="14" spans="1:11">
      <c r="B14" s="132" t="s">
        <v>152</v>
      </c>
      <c r="F14" s="132"/>
      <c r="H14" s="170">
        <v>850</v>
      </c>
    </row>
    <row r="15" spans="1:11">
      <c r="H15" s="176">
        <f>SUM(H14:H14)</f>
        <v>850</v>
      </c>
    </row>
    <row r="17" spans="2:8" ht="13.5" thickBot="1">
      <c r="B17" t="s">
        <v>74</v>
      </c>
      <c r="H17" s="347">
        <f>H12+H15</f>
        <v>10150</v>
      </c>
    </row>
    <row r="38" spans="10:10">
      <c r="J38" s="165"/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FF"/>
  </sheetPr>
  <dimension ref="A2:I17"/>
  <sheetViews>
    <sheetView workbookViewId="0">
      <selection activeCell="C6" sqref="C6"/>
    </sheetView>
  </sheetViews>
  <sheetFormatPr defaultColWidth="9.140625" defaultRowHeight="12.75"/>
  <cols>
    <col min="2" max="2" width="20.5703125" customWidth="1"/>
    <col min="3" max="3" width="11" style="170" bestFit="1" customWidth="1"/>
  </cols>
  <sheetData>
    <row r="2" spans="1:9">
      <c r="A2" s="142" t="s">
        <v>154</v>
      </c>
      <c r="B2" s="142" t="s">
        <v>155</v>
      </c>
      <c r="C2" s="174"/>
      <c r="D2" s="142"/>
      <c r="E2" s="142"/>
      <c r="F2" s="142"/>
      <c r="G2" s="142"/>
      <c r="H2" s="142"/>
      <c r="I2" s="142"/>
    </row>
    <row r="4" spans="1:9">
      <c r="A4" s="165"/>
      <c r="B4" s="165" t="s">
        <v>156</v>
      </c>
      <c r="C4" s="185">
        <v>300</v>
      </c>
      <c r="D4" s="165"/>
      <c r="E4" s="190" t="s">
        <v>199</v>
      </c>
      <c r="F4" s="165"/>
      <c r="G4" s="165"/>
      <c r="H4" s="165"/>
      <c r="I4" s="165"/>
    </row>
    <row r="5" spans="1:9">
      <c r="A5" s="165"/>
      <c r="B5" s="165" t="s">
        <v>157</v>
      </c>
      <c r="C5" s="185">
        <v>850</v>
      </c>
      <c r="D5" s="165"/>
      <c r="E5" s="190" t="s">
        <v>197</v>
      </c>
      <c r="F5" s="165"/>
      <c r="G5" s="165"/>
      <c r="H5" s="165"/>
      <c r="I5" s="165"/>
    </row>
    <row r="6" spans="1:9">
      <c r="A6" s="165"/>
      <c r="B6" s="165" t="s">
        <v>158</v>
      </c>
      <c r="C6" s="185">
        <v>0</v>
      </c>
      <c r="D6" s="165"/>
      <c r="E6" s="190" t="s">
        <v>198</v>
      </c>
      <c r="F6" s="165"/>
      <c r="G6" s="165"/>
      <c r="H6" s="165"/>
      <c r="I6" s="165"/>
    </row>
    <row r="7" spans="1:9">
      <c r="A7" s="165"/>
      <c r="B7" s="165" t="s">
        <v>159</v>
      </c>
      <c r="C7" s="169"/>
      <c r="D7" s="165"/>
      <c r="E7" s="165"/>
      <c r="F7" s="165"/>
      <c r="G7" s="165"/>
      <c r="H7" s="165"/>
      <c r="I7" s="165"/>
    </row>
    <row r="8" spans="1:9">
      <c r="A8" s="165"/>
      <c r="B8" s="165"/>
      <c r="C8" s="169"/>
      <c r="D8" s="165"/>
      <c r="E8" s="165"/>
      <c r="F8" s="165"/>
      <c r="G8" s="165"/>
      <c r="H8" s="165"/>
      <c r="I8" s="165"/>
    </row>
    <row r="9" spans="1:9">
      <c r="A9" s="190"/>
      <c r="B9" s="165"/>
      <c r="C9" s="169"/>
      <c r="D9" s="191"/>
      <c r="E9" s="190"/>
      <c r="F9" s="165"/>
      <c r="G9" s="165"/>
      <c r="H9" s="165"/>
      <c r="I9" s="165"/>
    </row>
    <row r="10" spans="1:9" ht="13.5" thickBot="1">
      <c r="C10" s="331">
        <f>SUM(C4:C9)</f>
        <v>1150</v>
      </c>
    </row>
    <row r="11" spans="1:9" s="170" customFormat="1" ht="13.5" thickTop="1">
      <c r="A11"/>
      <c r="B11"/>
      <c r="D11"/>
      <c r="E11"/>
      <c r="F11"/>
      <c r="G11"/>
      <c r="H11"/>
      <c r="I11"/>
    </row>
    <row r="14" spans="1:9" s="170" customFormat="1">
      <c r="A14"/>
      <c r="B14" t="s">
        <v>133</v>
      </c>
      <c r="D14"/>
      <c r="E14"/>
      <c r="F14"/>
      <c r="G14"/>
      <c r="H14"/>
      <c r="I14"/>
    </row>
    <row r="15" spans="1:9" s="170" customFormat="1">
      <c r="A15" s="132"/>
      <c r="B15"/>
      <c r="D15"/>
      <c r="E15"/>
      <c r="F15"/>
      <c r="G15"/>
      <c r="H15"/>
      <c r="I15"/>
    </row>
    <row r="17" spans="1:9" s="169" customFormat="1">
      <c r="A17" s="165"/>
      <c r="B17" s="165"/>
      <c r="D17" s="165"/>
      <c r="E17" s="165"/>
      <c r="F17" s="165"/>
      <c r="G17" s="165"/>
      <c r="H17" s="165"/>
      <c r="I17" s="16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budget </vt:lpstr>
      <vt:lpstr>20-4100 CC</vt:lpstr>
      <vt:lpstr>10-4900 Investment Income</vt:lpstr>
      <vt:lpstr>10-5100 10-5105 10-5115 Mailing</vt:lpstr>
      <vt:lpstr>10-5120 publicity</vt:lpstr>
      <vt:lpstr>10-5125 Marketing Materials-MC</vt:lpstr>
      <vt:lpstr>10-5130 Donor recognition</vt:lpstr>
      <vt:lpstr>10-7050 Business Dvpt </vt:lpstr>
      <vt:lpstr>10-7055 Dues and Memberships</vt:lpstr>
      <vt:lpstr>10-8115 telephone</vt:lpstr>
      <vt:lpstr>10-8300 software</vt:lpstr>
      <vt:lpstr>10-8520 Audit &amp; Consulting</vt:lpstr>
      <vt:lpstr>changes after final budget appr</vt:lpstr>
      <vt:lpstr>next year budget</vt:lpstr>
      <vt:lpstr>'10-5120 publicity'!Print_Area</vt:lpstr>
      <vt:lpstr>'budget '!Print_Titles</vt:lpstr>
    </vt:vector>
  </TitlesOfParts>
  <Company>lgh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lgh</dc:creator>
  <cp:lastModifiedBy>Maggie Costa </cp:lastModifiedBy>
  <cp:lastPrinted>2024-04-19T19:00:41Z</cp:lastPrinted>
  <dcterms:created xsi:type="dcterms:W3CDTF">2015-02-23T13:49:10Z</dcterms:created>
  <dcterms:modified xsi:type="dcterms:W3CDTF">2024-05-02T14:33:06Z</dcterms:modified>
</cp:coreProperties>
</file>